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726BD1FA-0663-438C-A124-B7ADE09BDA08}" xr6:coauthVersionLast="47" xr6:coauthVersionMax="47" xr10:uidLastSave="{00000000-0000-0000-0000-000000000000}"/>
  <bookViews>
    <workbookView xWindow="-120" yWindow="-120" windowWidth="29040" windowHeight="15840" firstSheet="8" activeTab="8" xr2:uid="{00000000-000D-0000-FFFF-FFFF00000000}"/>
  </bookViews>
  <sheets>
    <sheet name="GEN 18" sheetId="1" r:id="rId1"/>
    <sheet name="FEB 18" sheetId="2" r:id="rId2"/>
    <sheet name="marzo 18" sheetId="6" r:id="rId3"/>
    <sheet name="aprile" sheetId="3" r:id="rId4"/>
    <sheet name="maggio" sheetId="4" r:id="rId5"/>
    <sheet name="giugno" sheetId="5" r:id="rId6"/>
    <sheet name="luglio" sheetId="7" r:id="rId7"/>
    <sheet name="agosto" sheetId="8" r:id="rId8"/>
    <sheet name="SETTEMBRE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9" l="1"/>
  <c r="J10" i="9"/>
  <c r="J11" i="9"/>
  <c r="L8" i="9"/>
  <c r="L9" i="9"/>
  <c r="L10" i="9"/>
  <c r="L11" i="9"/>
  <c r="I8" i="9"/>
  <c r="I9" i="9"/>
  <c r="I10" i="9"/>
  <c r="I11" i="9"/>
  <c r="M11" i="9" l="1"/>
  <c r="D11" i="9" s="1"/>
  <c r="O10" i="9"/>
  <c r="O9" i="9"/>
  <c r="M9" i="9"/>
  <c r="O11" i="9" l="1"/>
  <c r="O8" i="9"/>
  <c r="M10" i="9"/>
  <c r="D10" i="9" s="1"/>
  <c r="M8" i="9"/>
  <c r="D8" i="9" s="1"/>
  <c r="K8" i="9"/>
  <c r="C8" i="9" s="1"/>
  <c r="K9" i="9"/>
  <c r="C9" i="9" s="1"/>
  <c r="K10" i="9"/>
  <c r="C10" i="9" s="1"/>
  <c r="K11" i="9"/>
  <c r="C11" i="9" s="1"/>
  <c r="L11" i="8"/>
  <c r="J11" i="8"/>
  <c r="J10" i="8"/>
  <c r="L10" i="8"/>
  <c r="J8" i="8"/>
  <c r="K8" i="8" s="1"/>
  <c r="C8" i="8" s="1"/>
  <c r="L8" i="8"/>
  <c r="O8" i="8" s="1"/>
  <c r="I11" i="8"/>
  <c r="I10" i="8"/>
  <c r="I9" i="8"/>
  <c r="I8" i="8"/>
  <c r="M11" i="8"/>
  <c r="D11" i="8" s="1"/>
  <c r="K11" i="8"/>
  <c r="O9" i="8"/>
  <c r="K9" i="8"/>
  <c r="C9" i="8" s="1"/>
  <c r="M10" i="8" l="1"/>
  <c r="D10" i="8" s="1"/>
  <c r="N11" i="9"/>
  <c r="N8" i="9"/>
  <c r="N10" i="9"/>
  <c r="N9" i="9"/>
  <c r="N11" i="8"/>
  <c r="O11" i="8"/>
  <c r="O10" i="8"/>
  <c r="M8" i="8"/>
  <c r="C11" i="8"/>
  <c r="M9" i="8"/>
  <c r="D9" i="8" s="1"/>
  <c r="K10" i="8"/>
  <c r="J11" i="7"/>
  <c r="L11" i="7"/>
  <c r="M11" i="7" s="1"/>
  <c r="D11" i="7" s="1"/>
  <c r="L10" i="7"/>
  <c r="O10" i="7" s="1"/>
  <c r="J10" i="7"/>
  <c r="L8" i="7"/>
  <c r="J8" i="7"/>
  <c r="K8" i="7" s="1"/>
  <c r="L9" i="7"/>
  <c r="I11" i="7"/>
  <c r="I10" i="7"/>
  <c r="I9" i="7"/>
  <c r="K9" i="7" s="1"/>
  <c r="I8" i="7"/>
  <c r="M8" i="7" s="1"/>
  <c r="D8" i="7" s="1"/>
  <c r="N10" i="8" l="1"/>
  <c r="C10" i="8"/>
  <c r="O11" i="7"/>
  <c r="D8" i="8"/>
  <c r="N8" i="8"/>
  <c r="N9" i="8"/>
  <c r="M10" i="7"/>
  <c r="D10" i="7" s="1"/>
  <c r="M9" i="7"/>
  <c r="D9" i="7" s="1"/>
  <c r="N9" i="7"/>
  <c r="C8" i="7"/>
  <c r="N8" i="7"/>
  <c r="O8" i="7"/>
  <c r="O9" i="7"/>
  <c r="K10" i="7"/>
  <c r="K11" i="7"/>
  <c r="M11" i="6"/>
  <c r="N11" i="6" s="1"/>
  <c r="D11" i="6" s="1"/>
  <c r="J9" i="6"/>
  <c r="N9" i="6" s="1"/>
  <c r="D9" i="6" s="1"/>
  <c r="J8" i="6"/>
  <c r="M8" i="6"/>
  <c r="K8" i="6"/>
  <c r="K11" i="6"/>
  <c r="P11" i="6" s="1"/>
  <c r="M10" i="6"/>
  <c r="P10" i="6" s="1"/>
  <c r="K10" i="6"/>
  <c r="J11" i="6"/>
  <c r="J10" i="6"/>
  <c r="N10" i="6" s="1"/>
  <c r="D10" i="6" s="1"/>
  <c r="L9" i="6"/>
  <c r="L8" i="6" l="1"/>
  <c r="C11" i="7"/>
  <c r="N11" i="7"/>
  <c r="N10" i="7"/>
  <c r="C9" i="6"/>
  <c r="O9" i="6"/>
  <c r="C8" i="6"/>
  <c r="O8" i="6"/>
  <c r="P8" i="6"/>
  <c r="P9" i="6"/>
  <c r="L10" i="6"/>
  <c r="L11" i="6"/>
  <c r="M11" i="5"/>
  <c r="K11" i="5"/>
  <c r="M10" i="5"/>
  <c r="N10" i="5" s="1"/>
  <c r="D10" i="5" s="1"/>
  <c r="K10" i="5"/>
  <c r="P10" i="5" s="1"/>
  <c r="K9" i="5"/>
  <c r="K8" i="5"/>
  <c r="M8" i="5"/>
  <c r="J11" i="5"/>
  <c r="J10" i="5"/>
  <c r="J9" i="5"/>
  <c r="N9" i="5" s="1"/>
  <c r="D9" i="5" s="1"/>
  <c r="J8" i="5"/>
  <c r="N11" i="5"/>
  <c r="D11" i="5" s="1"/>
  <c r="P9" i="5"/>
  <c r="J8" i="4"/>
  <c r="J9" i="4"/>
  <c r="J10" i="4"/>
  <c r="J11" i="4"/>
  <c r="K8" i="4"/>
  <c r="K10" i="4"/>
  <c r="K11" i="4"/>
  <c r="M8" i="4"/>
  <c r="M10" i="4"/>
  <c r="M11" i="4"/>
  <c r="P11" i="5" l="1"/>
  <c r="C11" i="6"/>
  <c r="O11" i="6"/>
  <c r="C10" i="6"/>
  <c r="O10" i="6"/>
  <c r="P8" i="5"/>
  <c r="L8" i="5"/>
  <c r="L9" i="5"/>
  <c r="L10" i="5"/>
  <c r="L11" i="5"/>
  <c r="P11" i="4"/>
  <c r="N10" i="4"/>
  <c r="D10" i="4" s="1"/>
  <c r="N11" i="4"/>
  <c r="D11" i="4" s="1"/>
  <c r="P10" i="4"/>
  <c r="P9" i="4"/>
  <c r="N9" i="4"/>
  <c r="D9" i="4" s="1"/>
  <c r="L9" i="4"/>
  <c r="C9" i="4" s="1"/>
  <c r="N8" i="4"/>
  <c r="D8" i="4" s="1"/>
  <c r="O8" i="5" l="1"/>
  <c r="C8" i="5"/>
  <c r="C11" i="5"/>
  <c r="O11" i="5"/>
  <c r="C10" i="5"/>
  <c r="O10" i="5"/>
  <c r="C9" i="5"/>
  <c r="O9" i="5"/>
  <c r="P8" i="4"/>
  <c r="O9" i="4"/>
  <c r="L10" i="4"/>
  <c r="L11" i="4"/>
  <c r="L8" i="4"/>
  <c r="M11" i="3"/>
  <c r="K11" i="3"/>
  <c r="P11" i="3" s="1"/>
  <c r="M10" i="3"/>
  <c r="P10" i="3" s="1"/>
  <c r="K10" i="3"/>
  <c r="K9" i="3"/>
  <c r="L9" i="3" s="1"/>
  <c r="C9" i="3" s="1"/>
  <c r="M9" i="3"/>
  <c r="P9" i="3" s="1"/>
  <c r="M8" i="3"/>
  <c r="K8" i="3"/>
  <c r="J11" i="3"/>
  <c r="J10" i="3"/>
  <c r="J9" i="3"/>
  <c r="J8" i="3"/>
  <c r="N11" i="3"/>
  <c r="D11" i="3" s="1"/>
  <c r="N8" i="3"/>
  <c r="D8" i="3" s="1"/>
  <c r="P8" i="3"/>
  <c r="N10" i="3" l="1"/>
  <c r="D10" i="3" s="1"/>
  <c r="C11" i="4"/>
  <c r="O11" i="4"/>
  <c r="C10" i="4"/>
  <c r="O10" i="4"/>
  <c r="O8" i="4"/>
  <c r="N9" i="3"/>
  <c r="D9" i="3" s="1"/>
  <c r="L8" i="3"/>
  <c r="L10" i="3"/>
  <c r="L11" i="3"/>
  <c r="M11" i="2"/>
  <c r="K11" i="2"/>
  <c r="M10" i="2"/>
  <c r="K10" i="2"/>
  <c r="P10" i="2" s="1"/>
  <c r="M9" i="2"/>
  <c r="N9" i="2" s="1"/>
  <c r="D9" i="2" s="1"/>
  <c r="M8" i="2"/>
  <c r="K8" i="2"/>
  <c r="J11" i="2"/>
  <c r="J10" i="2"/>
  <c r="J9" i="2"/>
  <c r="J8" i="2"/>
  <c r="L8" i="2" s="1"/>
  <c r="N11" i="2"/>
  <c r="D11" i="2" s="1"/>
  <c r="P11" i="2"/>
  <c r="L9" i="2"/>
  <c r="C9" i="2" s="1"/>
  <c r="P8" i="2"/>
  <c r="O8" i="3" l="1"/>
  <c r="C8" i="3"/>
  <c r="P9" i="2"/>
  <c r="N8" i="2"/>
  <c r="D8" i="2" s="1"/>
  <c r="O9" i="3"/>
  <c r="C11" i="3"/>
  <c r="O11" i="3"/>
  <c r="C10" i="3"/>
  <c r="O10" i="3"/>
  <c r="L10" i="2"/>
  <c r="C10" i="2" s="1"/>
  <c r="N10" i="2"/>
  <c r="D10" i="2" s="1"/>
  <c r="L11" i="2"/>
  <c r="O9" i="2"/>
  <c r="M11" i="1"/>
  <c r="K11" i="1"/>
  <c r="M10" i="1"/>
  <c r="K10" i="1"/>
  <c r="M8" i="1"/>
  <c r="K8" i="1"/>
  <c r="P9" i="1"/>
  <c r="K9" i="1"/>
  <c r="O8" i="2" l="1"/>
  <c r="O10" i="2"/>
  <c r="O11" i="2"/>
  <c r="C11" i="2"/>
  <c r="J11" i="1"/>
  <c r="N11" i="1" s="1"/>
  <c r="D11" i="1" s="1"/>
  <c r="J10" i="1"/>
  <c r="J9" i="1"/>
  <c r="L9" i="1" s="1"/>
  <c r="J8" i="1"/>
  <c r="N8" i="1" s="1"/>
  <c r="D8" i="1" s="1"/>
  <c r="P11" i="1"/>
  <c r="P10" i="1"/>
  <c r="P8" i="1"/>
  <c r="C9" i="1" l="1"/>
  <c r="N10" i="1"/>
  <c r="D10" i="1" s="1"/>
  <c r="N9" i="1"/>
  <c r="O9" i="1" s="1"/>
  <c r="L8" i="1"/>
  <c r="L10" i="1"/>
  <c r="C10" i="1" s="1"/>
  <c r="L11" i="1"/>
  <c r="C11" i="1" s="1"/>
  <c r="O11" i="1" l="1"/>
  <c r="O10" i="1"/>
  <c r="O8" i="1"/>
</calcChain>
</file>

<file path=xl/sharedStrings.xml><?xml version="1.0" encoding="utf-8"?>
<sst xmlns="http://schemas.openxmlformats.org/spreadsheetml/2006/main" count="225" uniqueCount="28">
  <si>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</si>
  <si>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</si>
  <si>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</si>
  <si>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</si>
  <si>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</si>
  <si>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</si>
  <si>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</si>
  <si>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</si>
  <si>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</si>
  <si>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</si>
  <si>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</si>
  <si>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</si>
  <si>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</si>
  <si>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</si>
  <si>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</si>
  <si>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</si>
  <si>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</si>
  <si>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</si>
  <si>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</si>
  <si>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Tassi di assenza GENNAIO 2018</t>
  </si>
  <si>
    <t>Tassi di assenza FEBBRAIO 2018</t>
  </si>
  <si>
    <t>Tassi di assenza APRILE 2018</t>
  </si>
  <si>
    <t>Tassi di assenza MAGGIO 2018</t>
  </si>
  <si>
    <t>Tassi di assenza GIUGNO 2018</t>
  </si>
  <si>
    <t>Tassi di assenza MARZO 2018</t>
  </si>
  <si>
    <t>Tassi di assenza LUGLIO 2018</t>
  </si>
  <si>
    <t>Tassi di assenza AGOSTO 2018</t>
  </si>
  <si>
    <t>Tassi di assenza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</si>
</sst>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9" fontId="0" fillId="0" borderId="2" xfId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/>
    <xf numFmtId="9" fontId="0" fillId="0" borderId="0" xfId="0" applyNumberFormat="1"/>
    <xf numFmtId="164" fontId="0" fillId="0" borderId="0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justify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workbookViewId="0">
      <selection sqref="A1:XFD1048576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7" width="9.140625" hidden="1" customWidth="1"/>
    <col min="18" max="45" width="9.140625" customWidth="1"/>
  </cols>
  <sheetData>
    <row r="1" spans="1:16" ht="19.5" x14ac:dyDescent="0.25">
      <c r="A1" s="48" t="s">
        <v>19</v>
      </c>
      <c r="B1" s="49"/>
      <c r="C1" s="49"/>
      <c r="D1" s="49"/>
      <c r="E1" s="1"/>
      <c r="F1" s="1"/>
      <c r="G1" s="1"/>
    </row>
    <row r="2" spans="1:16" ht="19.5" x14ac:dyDescent="0.25">
      <c r="A2" s="1"/>
      <c r="B2" s="1"/>
      <c r="C2" s="1"/>
      <c r="D2" s="1"/>
      <c r="E2" s="1"/>
      <c r="F2" s="1"/>
      <c r="G2" s="1"/>
    </row>
    <row r="3" spans="1:16" ht="15.75" x14ac:dyDescent="0.25">
      <c r="A3" s="50" t="s">
        <v>0</v>
      </c>
      <c r="B3" s="49"/>
      <c r="C3" s="49"/>
      <c r="D3" s="49"/>
      <c r="E3" s="2"/>
      <c r="F3" s="2"/>
      <c r="G3" s="2"/>
    </row>
    <row r="6" spans="1:16" ht="19.5" x14ac:dyDescent="0.3">
      <c r="A6" s="51"/>
      <c r="B6" s="51"/>
      <c r="C6" s="51"/>
      <c r="D6" s="51"/>
      <c r="H6" s="45" t="s">
        <v>1</v>
      </c>
      <c r="I6" s="45" t="s">
        <v>2</v>
      </c>
      <c r="J6" s="45" t="s">
        <v>3</v>
      </c>
      <c r="K6" s="45" t="s">
        <v>4</v>
      </c>
      <c r="L6" s="45"/>
      <c r="M6" s="45" t="s">
        <v>5</v>
      </c>
      <c r="N6" s="45"/>
      <c r="O6" s="46" t="s">
        <v>6</v>
      </c>
      <c r="P6" s="46"/>
    </row>
    <row r="7" spans="1:16" ht="30" x14ac:dyDescent="0.25">
      <c r="A7" s="3" t="s">
        <v>7</v>
      </c>
      <c r="B7" s="4" t="s">
        <v>8</v>
      </c>
      <c r="C7" s="4" t="s">
        <v>9</v>
      </c>
      <c r="D7" s="4" t="s">
        <v>10</v>
      </c>
      <c r="H7" s="45"/>
      <c r="I7" s="45"/>
      <c r="J7" s="45"/>
      <c r="K7" s="5" t="s">
        <v>11</v>
      </c>
      <c r="L7" s="5" t="s">
        <v>12</v>
      </c>
      <c r="M7" s="5" t="s">
        <v>13</v>
      </c>
      <c r="N7" s="5" t="s">
        <v>12</v>
      </c>
      <c r="O7" s="46"/>
      <c r="P7" s="46"/>
    </row>
    <row r="8" spans="1:16" s="10" customFormat="1" ht="30" x14ac:dyDescent="0.25">
      <c r="A8" s="6" t="s">
        <v>14</v>
      </c>
      <c r="B8" s="7">
        <v>4</v>
      </c>
      <c r="C8" s="8">
        <v>0.92</v>
      </c>
      <c r="D8" s="8">
        <f>N8</f>
        <v>8.3333333333333343E-2</v>
      </c>
      <c r="E8" s="9"/>
      <c r="H8" s="11" t="s">
        <v>14</v>
      </c>
      <c r="I8" s="7">
        <v>4</v>
      </c>
      <c r="J8" s="12">
        <f>4*8*21</f>
        <v>672</v>
      </c>
      <c r="K8" s="13">
        <f>142.4+164+158.5+149.5</f>
        <v>614.4</v>
      </c>
      <c r="L8" s="14">
        <f>+K8/J8</f>
        <v>0.91428571428571426</v>
      </c>
      <c r="M8" s="13">
        <f>18+7.2+4+8+1.1+8+3.2+6.5</f>
        <v>56.000000000000007</v>
      </c>
      <c r="N8" s="14">
        <f>M8/J8</f>
        <v>8.3333333333333343E-2</v>
      </c>
      <c r="O8" s="15">
        <f t="shared" ref="O8" si="0">+L8+N8</f>
        <v>0.99761904761904763</v>
      </c>
      <c r="P8" s="12">
        <f t="shared" ref="P8" si="1">+K8+M8</f>
        <v>670.4</v>
      </c>
    </row>
    <row r="9" spans="1:16" s="10" customFormat="1" x14ac:dyDescent="0.25">
      <c r="A9" s="6" t="s">
        <v>15</v>
      </c>
      <c r="B9" s="7">
        <v>1</v>
      </c>
      <c r="C9" s="8">
        <f t="shared" ref="C9:C11" si="2">L9</f>
        <v>0.98095238095238102</v>
      </c>
      <c r="D9" s="8">
        <v>0.02</v>
      </c>
      <c r="E9" s="9"/>
      <c r="H9" s="6" t="s">
        <v>15</v>
      </c>
      <c r="I9" s="7">
        <v>1</v>
      </c>
      <c r="J9" s="12">
        <f>8*1*21</f>
        <v>168</v>
      </c>
      <c r="K9" s="13">
        <f>164.56+0.24</f>
        <v>164.8</v>
      </c>
      <c r="L9" s="14">
        <f>K9/J9</f>
        <v>0.98095238095238102</v>
      </c>
      <c r="M9" s="13">
        <v>2.4</v>
      </c>
      <c r="N9" s="14">
        <f>+M9/J9</f>
        <v>1.4285714285714285E-2</v>
      </c>
      <c r="O9" s="15">
        <f>L9+N9</f>
        <v>0.99523809523809526</v>
      </c>
      <c r="P9" s="13">
        <f>K9+M9</f>
        <v>167.20000000000002</v>
      </c>
    </row>
    <row r="10" spans="1:16" s="10" customFormat="1" x14ac:dyDescent="0.25">
      <c r="A10" s="16" t="s">
        <v>16</v>
      </c>
      <c r="B10" s="12">
        <v>3</v>
      </c>
      <c r="C10" s="8">
        <f t="shared" si="2"/>
        <v>0.9287698412698413</v>
      </c>
      <c r="D10" s="8">
        <f t="shared" ref="D10:D11" si="3">N10</f>
        <v>6.8849206349206354E-2</v>
      </c>
      <c r="E10" s="9"/>
      <c r="H10" s="16" t="s">
        <v>16</v>
      </c>
      <c r="I10" s="12">
        <v>3</v>
      </c>
      <c r="J10" s="12">
        <f>8*3*21</f>
        <v>504</v>
      </c>
      <c r="K10" s="13">
        <f>163.2+162.5+124.16+18.24</f>
        <v>468.1</v>
      </c>
      <c r="L10" s="14">
        <f t="shared" ref="L10:L11" si="4">+K10/J10</f>
        <v>0.9287698412698413</v>
      </c>
      <c r="M10" s="13">
        <f>4.4+5.1+1.2+8+16</f>
        <v>34.700000000000003</v>
      </c>
      <c r="N10" s="14">
        <f t="shared" ref="N10:N11" si="5">+M10/J10</f>
        <v>6.8849206349206354E-2</v>
      </c>
      <c r="O10" s="15">
        <f t="shared" ref="O10:O11" si="6">+L10+N10</f>
        <v>0.99761904761904763</v>
      </c>
      <c r="P10" s="12">
        <f t="shared" ref="P10:P11" si="7">+K10+M10</f>
        <v>502.8</v>
      </c>
    </row>
    <row r="11" spans="1:16" s="10" customFormat="1" x14ac:dyDescent="0.25">
      <c r="A11" s="16" t="s">
        <v>17</v>
      </c>
      <c r="B11" s="12">
        <v>4</v>
      </c>
      <c r="C11" s="8">
        <f t="shared" si="2"/>
        <v>0.63035714285714284</v>
      </c>
      <c r="D11" s="8">
        <f t="shared" si="3"/>
        <v>0.37113095238095239</v>
      </c>
      <c r="E11" s="9"/>
      <c r="H11" s="16" t="s">
        <v>17</v>
      </c>
      <c r="I11" s="12">
        <v>4</v>
      </c>
      <c r="J11" s="12">
        <f>8*4*21</f>
        <v>672</v>
      </c>
      <c r="K11" s="13">
        <f>133+148.1+137.18+5.32</f>
        <v>423.6</v>
      </c>
      <c r="L11" s="14">
        <f t="shared" si="4"/>
        <v>0.63035714285714284</v>
      </c>
      <c r="M11" s="13">
        <f>168+3+32+2.4+16+3.5+8.5+16</f>
        <v>249.4</v>
      </c>
      <c r="N11" s="17">
        <f t="shared" si="5"/>
        <v>0.37113095238095239</v>
      </c>
      <c r="O11" s="15">
        <f t="shared" si="6"/>
        <v>1.0014880952380953</v>
      </c>
      <c r="P11" s="12">
        <f t="shared" si="7"/>
        <v>673</v>
      </c>
    </row>
    <row r="12" spans="1:16" x14ac:dyDescent="0.25">
      <c r="A12" s="18"/>
      <c r="B12" s="19"/>
      <c r="C12" s="20"/>
      <c r="D12" s="20"/>
      <c r="M12" s="21"/>
    </row>
    <row r="13" spans="1:16" x14ac:dyDescent="0.25">
      <c r="A13" s="18"/>
      <c r="B13" s="19"/>
      <c r="C13" s="20"/>
      <c r="D13" s="20"/>
      <c r="L13" s="22"/>
    </row>
    <row r="14" spans="1:16" x14ac:dyDescent="0.25">
      <c r="A14" s="18"/>
      <c r="B14" s="19"/>
      <c r="C14" s="20"/>
      <c r="D14" s="23"/>
      <c r="L14" s="21"/>
    </row>
    <row r="15" spans="1:16" x14ac:dyDescent="0.25">
      <c r="A15" s="18"/>
      <c r="B15" s="19"/>
      <c r="C15" s="20"/>
      <c r="D15" s="20"/>
      <c r="K15" s="21"/>
    </row>
    <row r="16" spans="1:16" x14ac:dyDescent="0.25">
      <c r="A16" s="18"/>
      <c r="B16" s="19"/>
      <c r="C16" s="20"/>
      <c r="D16" s="20"/>
      <c r="K16" s="21"/>
    </row>
    <row r="17" spans="1:4" x14ac:dyDescent="0.25">
      <c r="A17" s="18"/>
      <c r="B17" s="19"/>
      <c r="C17" s="20"/>
      <c r="D17" s="20"/>
    </row>
    <row r="18" spans="1:4" x14ac:dyDescent="0.25">
      <c r="A18" s="18"/>
      <c r="B18" s="19"/>
      <c r="C18" s="20"/>
      <c r="D18" s="20"/>
    </row>
    <row r="19" spans="1:4" x14ac:dyDescent="0.25">
      <c r="A19" s="18"/>
      <c r="B19" s="19"/>
      <c r="C19" s="20"/>
      <c r="D19" s="20"/>
    </row>
    <row r="20" spans="1:4" x14ac:dyDescent="0.25">
      <c r="A20" s="18"/>
      <c r="B20" s="19"/>
      <c r="C20" s="20"/>
      <c r="D20" s="20"/>
    </row>
    <row r="21" spans="1:4" x14ac:dyDescent="0.25">
      <c r="A21" s="18"/>
      <c r="B21" s="19"/>
      <c r="C21" s="20"/>
      <c r="D21" s="20"/>
    </row>
    <row r="22" spans="1:4" x14ac:dyDescent="0.25">
      <c r="A22" s="18"/>
      <c r="B22" s="19"/>
      <c r="C22" s="20"/>
      <c r="D22" s="20"/>
    </row>
    <row r="23" spans="1:4" x14ac:dyDescent="0.25">
      <c r="A23" s="18"/>
      <c r="B23" s="19"/>
      <c r="C23" s="20"/>
      <c r="D23" s="20"/>
    </row>
    <row r="24" spans="1:4" x14ac:dyDescent="0.25">
      <c r="A24" s="18"/>
      <c r="B24" s="19"/>
      <c r="C24" s="20"/>
      <c r="D24" s="20"/>
    </row>
    <row r="25" spans="1:4" x14ac:dyDescent="0.25">
      <c r="A25" s="18"/>
      <c r="B25" s="19"/>
      <c r="C25" s="20"/>
      <c r="D25" s="20"/>
    </row>
    <row r="26" spans="1:4" x14ac:dyDescent="0.25">
      <c r="A26" s="18"/>
      <c r="B26" s="19"/>
      <c r="C26" s="20"/>
      <c r="D26" s="20"/>
    </row>
    <row r="31" spans="1:4" x14ac:dyDescent="0.25">
      <c r="A31" s="47" t="s">
        <v>18</v>
      </c>
      <c r="B31" s="47"/>
      <c r="C31" s="47"/>
      <c r="D31" s="47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1"/>
  <sheetViews>
    <sheetView workbookViewId="0">
      <selection sqref="A1:XFD1048576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hidden="1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9" width="9.140625" hidden="1" customWidth="1"/>
    <col min="20" max="45" width="9.140625" customWidth="1"/>
  </cols>
  <sheetData>
    <row r="1" spans="1:16" ht="19.5" x14ac:dyDescent="0.25">
      <c r="A1" s="48" t="s">
        <v>20</v>
      </c>
      <c r="B1" s="49"/>
      <c r="C1" s="49"/>
      <c r="D1" s="49"/>
      <c r="E1" s="1"/>
      <c r="F1" s="1"/>
      <c r="G1" s="1"/>
    </row>
    <row r="2" spans="1:16" ht="19.5" x14ac:dyDescent="0.25">
      <c r="A2" s="1"/>
      <c r="B2" s="1"/>
      <c r="C2" s="1"/>
      <c r="D2" s="1"/>
      <c r="E2" s="1"/>
      <c r="F2" s="1"/>
      <c r="G2" s="1"/>
    </row>
    <row r="3" spans="1:16" ht="15.75" x14ac:dyDescent="0.25">
      <c r="A3" s="50" t="s">
        <v>0</v>
      </c>
      <c r="B3" s="49"/>
      <c r="C3" s="49"/>
      <c r="D3" s="49"/>
      <c r="E3" s="2"/>
      <c r="F3" s="2"/>
      <c r="G3" s="2"/>
    </row>
    <row r="6" spans="1:16" ht="19.5" x14ac:dyDescent="0.3">
      <c r="A6" s="51"/>
      <c r="B6" s="51"/>
      <c r="C6" s="51"/>
      <c r="D6" s="51"/>
      <c r="H6" s="45" t="s">
        <v>1</v>
      </c>
      <c r="I6" s="45" t="s">
        <v>2</v>
      </c>
      <c r="J6" s="45" t="s">
        <v>3</v>
      </c>
      <c r="K6" s="45" t="s">
        <v>4</v>
      </c>
      <c r="L6" s="45"/>
      <c r="M6" s="45" t="s">
        <v>5</v>
      </c>
      <c r="N6" s="45"/>
      <c r="O6" s="46" t="s">
        <v>6</v>
      </c>
      <c r="P6" s="46"/>
    </row>
    <row r="7" spans="1:16" ht="30" x14ac:dyDescent="0.25">
      <c r="A7" s="3" t="s">
        <v>7</v>
      </c>
      <c r="B7" s="4" t="s">
        <v>8</v>
      </c>
      <c r="C7" s="4" t="s">
        <v>9</v>
      </c>
      <c r="D7" s="4" t="s">
        <v>10</v>
      </c>
      <c r="H7" s="45"/>
      <c r="I7" s="45"/>
      <c r="J7" s="45"/>
      <c r="K7" s="5" t="s">
        <v>11</v>
      </c>
      <c r="L7" s="5" t="s">
        <v>12</v>
      </c>
      <c r="M7" s="5" t="s">
        <v>13</v>
      </c>
      <c r="N7" s="5" t="s">
        <v>12</v>
      </c>
      <c r="O7" s="46"/>
      <c r="P7" s="46"/>
    </row>
    <row r="8" spans="1:16" s="10" customFormat="1" ht="30" x14ac:dyDescent="0.25">
      <c r="A8" s="6" t="s">
        <v>14</v>
      </c>
      <c r="B8" s="7">
        <v>4</v>
      </c>
      <c r="C8" s="8">
        <v>0.92</v>
      </c>
      <c r="D8" s="8">
        <f>N8</f>
        <v>0.17906250000000001</v>
      </c>
      <c r="E8" s="9"/>
      <c r="H8" s="11" t="s">
        <v>14</v>
      </c>
      <c r="I8" s="7">
        <v>4</v>
      </c>
      <c r="J8" s="12">
        <f>4*8*20</f>
        <v>640</v>
      </c>
      <c r="K8" s="13">
        <f>140.2+96.5+145.22+1.58+140.1</f>
        <v>523.59999999999991</v>
      </c>
      <c r="L8" s="14">
        <f>+K8/J8</f>
        <v>0.81812499999999988</v>
      </c>
      <c r="M8" s="13">
        <f>2+8+10+8+4.4+1.2+16+2.3+0.5+8+48+6.2</f>
        <v>114.60000000000001</v>
      </c>
      <c r="N8" s="14">
        <f>M8/J8</f>
        <v>0.17906250000000001</v>
      </c>
      <c r="O8" s="15">
        <f t="shared" ref="O8" si="0">+L8+N8</f>
        <v>0.99718749999999989</v>
      </c>
      <c r="P8" s="12">
        <f t="shared" ref="P8" si="1">+K8+M8</f>
        <v>638.19999999999993</v>
      </c>
    </row>
    <row r="9" spans="1:16" s="10" customFormat="1" x14ac:dyDescent="0.25">
      <c r="A9" s="6" t="s">
        <v>15</v>
      </c>
      <c r="B9" s="7">
        <v>1</v>
      </c>
      <c r="C9" s="8">
        <f t="shared" ref="C9:C11" si="2">L9</f>
        <v>0.91937499999999994</v>
      </c>
      <c r="D9" s="8">
        <f>N9</f>
        <v>7.8125E-2</v>
      </c>
      <c r="E9" s="9"/>
      <c r="H9" s="6" t="s">
        <v>15</v>
      </c>
      <c r="I9" s="7">
        <v>1</v>
      </c>
      <c r="J9" s="12">
        <f>8*1*20</f>
        <v>160</v>
      </c>
      <c r="K9" s="13">
        <v>147.1</v>
      </c>
      <c r="L9" s="14">
        <f>K9/J9</f>
        <v>0.91937499999999994</v>
      </c>
      <c r="M9" s="13">
        <f>0.2+8+4.3</f>
        <v>12.5</v>
      </c>
      <c r="N9" s="14">
        <f>+M9/J9</f>
        <v>7.8125E-2</v>
      </c>
      <c r="O9" s="15">
        <f>L9+N9</f>
        <v>0.99749999999999994</v>
      </c>
      <c r="P9" s="13">
        <f>K9+M9</f>
        <v>159.6</v>
      </c>
    </row>
    <row r="10" spans="1:16" s="10" customFormat="1" x14ac:dyDescent="0.25">
      <c r="A10" s="16" t="s">
        <v>16</v>
      </c>
      <c r="B10" s="12">
        <v>3</v>
      </c>
      <c r="C10" s="8">
        <f t="shared" si="2"/>
        <v>0.86041666666666672</v>
      </c>
      <c r="D10" s="8">
        <f t="shared" ref="D10:D11" si="3">N10</f>
        <v>0.136875</v>
      </c>
      <c r="E10" s="9"/>
      <c r="H10" s="16" t="s">
        <v>16</v>
      </c>
      <c r="I10" s="12">
        <v>3</v>
      </c>
      <c r="J10" s="12">
        <f>8*3*20</f>
        <v>480</v>
      </c>
      <c r="K10" s="13">
        <f>132.4+132+127.37+21.23</f>
        <v>413</v>
      </c>
      <c r="L10" s="14">
        <f t="shared" ref="L10:L11" si="4">+K10/J10</f>
        <v>0.86041666666666672</v>
      </c>
      <c r="M10" s="13">
        <f>24+3.2+1+24+3+1+8+1.5</f>
        <v>65.7</v>
      </c>
      <c r="N10" s="14">
        <f t="shared" ref="N10:N11" si="5">+M10/J10</f>
        <v>0.136875</v>
      </c>
      <c r="O10" s="15">
        <f t="shared" ref="O10:O11" si="6">+L10+N10</f>
        <v>0.99729166666666669</v>
      </c>
      <c r="P10" s="12">
        <f t="shared" ref="P10:P11" si="7">+K10+M10</f>
        <v>478.7</v>
      </c>
    </row>
    <row r="11" spans="1:16" s="10" customFormat="1" x14ac:dyDescent="0.25">
      <c r="A11" s="16" t="s">
        <v>17</v>
      </c>
      <c r="B11" s="12">
        <v>4</v>
      </c>
      <c r="C11" s="8">
        <f t="shared" si="2"/>
        <v>0.67078124999999988</v>
      </c>
      <c r="D11" s="8">
        <f t="shared" si="3"/>
        <v>0.32734374999999993</v>
      </c>
      <c r="E11" s="9"/>
      <c r="H11" s="16" t="s">
        <v>17</v>
      </c>
      <c r="I11" s="12">
        <v>4</v>
      </c>
      <c r="J11" s="12">
        <f>8*4*20</f>
        <v>640</v>
      </c>
      <c r="K11" s="13">
        <f>153.5+157.4+118.4</f>
        <v>429.29999999999995</v>
      </c>
      <c r="L11" s="14">
        <f t="shared" si="4"/>
        <v>0.67078124999999988</v>
      </c>
      <c r="M11" s="13">
        <f>160+1+5.1+1+16+16+1.2+9.2</f>
        <v>209.49999999999997</v>
      </c>
      <c r="N11" s="17">
        <f t="shared" si="5"/>
        <v>0.32734374999999993</v>
      </c>
      <c r="O11" s="15">
        <f t="shared" si="6"/>
        <v>0.99812499999999982</v>
      </c>
      <c r="P11" s="12">
        <f t="shared" si="7"/>
        <v>638.79999999999995</v>
      </c>
    </row>
    <row r="12" spans="1:16" x14ac:dyDescent="0.25">
      <c r="A12" s="18"/>
      <c r="B12" s="19"/>
      <c r="C12" s="20"/>
      <c r="D12" s="20"/>
      <c r="M12" s="21"/>
    </row>
    <row r="13" spans="1:16" x14ac:dyDescent="0.25">
      <c r="A13" s="18"/>
      <c r="B13" s="19"/>
      <c r="C13" s="20"/>
      <c r="D13" s="20"/>
      <c r="L13" s="22"/>
    </row>
    <row r="14" spans="1:16" x14ac:dyDescent="0.25">
      <c r="A14" s="18"/>
      <c r="B14" s="19"/>
      <c r="C14" s="20"/>
      <c r="D14" s="23"/>
      <c r="L14" s="21"/>
    </row>
    <row r="15" spans="1:16" x14ac:dyDescent="0.25">
      <c r="A15" s="18"/>
      <c r="B15" s="19"/>
      <c r="C15" s="20"/>
      <c r="D15" s="20"/>
      <c r="K15" s="21"/>
    </row>
    <row r="16" spans="1:16" x14ac:dyDescent="0.25">
      <c r="A16" s="18"/>
      <c r="B16" s="19"/>
      <c r="C16" s="20"/>
      <c r="D16" s="20"/>
      <c r="K16" s="21"/>
    </row>
    <row r="17" spans="1:4" x14ac:dyDescent="0.25">
      <c r="A17" s="18"/>
      <c r="B17" s="19"/>
      <c r="C17" s="20"/>
      <c r="D17" s="20"/>
    </row>
    <row r="18" spans="1:4" x14ac:dyDescent="0.25">
      <c r="A18" s="18"/>
      <c r="B18" s="19"/>
      <c r="C18" s="20"/>
      <c r="D18" s="20"/>
    </row>
    <row r="19" spans="1:4" x14ac:dyDescent="0.25">
      <c r="A19" s="18"/>
      <c r="B19" s="19"/>
      <c r="C19" s="20"/>
      <c r="D19" s="20"/>
    </row>
    <row r="20" spans="1:4" x14ac:dyDescent="0.25">
      <c r="A20" s="18"/>
      <c r="B20" s="19"/>
      <c r="C20" s="20"/>
      <c r="D20" s="20"/>
    </row>
    <row r="21" spans="1:4" x14ac:dyDescent="0.25">
      <c r="A21" s="18"/>
      <c r="B21" s="19"/>
      <c r="C21" s="20"/>
      <c r="D21" s="20"/>
    </row>
    <row r="22" spans="1:4" x14ac:dyDescent="0.25">
      <c r="A22" s="18"/>
      <c r="B22" s="19"/>
      <c r="C22" s="20"/>
      <c r="D22" s="20"/>
    </row>
    <row r="23" spans="1:4" x14ac:dyDescent="0.25">
      <c r="A23" s="18"/>
      <c r="B23" s="19"/>
      <c r="C23" s="20"/>
      <c r="D23" s="20"/>
    </row>
    <row r="24" spans="1:4" x14ac:dyDescent="0.25">
      <c r="A24" s="18"/>
      <c r="B24" s="19"/>
      <c r="C24" s="20"/>
      <c r="D24" s="20"/>
    </row>
    <row r="25" spans="1:4" x14ac:dyDescent="0.25">
      <c r="A25" s="18"/>
      <c r="B25" s="19"/>
      <c r="C25" s="20"/>
      <c r="D25" s="20"/>
    </row>
    <row r="26" spans="1:4" x14ac:dyDescent="0.25">
      <c r="A26" s="18"/>
      <c r="B26" s="19"/>
      <c r="C26" s="20"/>
      <c r="D26" s="20"/>
    </row>
    <row r="31" spans="1:4" x14ac:dyDescent="0.25">
      <c r="A31" s="47" t="s">
        <v>18</v>
      </c>
      <c r="B31" s="47"/>
      <c r="C31" s="47"/>
      <c r="D31" s="47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"/>
  <sheetViews>
    <sheetView topLeftCell="A4" workbookViewId="0">
      <selection activeCell="R4" sqref="E1:R1048576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hidden="1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8" width="9.140625" hidden="1" customWidth="1"/>
    <col min="19" max="45" width="9.140625" customWidth="1"/>
  </cols>
  <sheetData>
    <row r="1" spans="1:16" ht="19.5" x14ac:dyDescent="0.25">
      <c r="A1" s="48" t="s">
        <v>24</v>
      </c>
      <c r="B1" s="49"/>
      <c r="C1" s="49"/>
      <c r="D1" s="49"/>
      <c r="E1" s="34"/>
      <c r="F1" s="34"/>
      <c r="G1" s="34"/>
    </row>
    <row r="2" spans="1:16" ht="19.5" x14ac:dyDescent="0.25">
      <c r="A2" s="34"/>
      <c r="B2" s="34"/>
      <c r="C2" s="34"/>
      <c r="D2" s="34"/>
      <c r="E2" s="34"/>
      <c r="F2" s="34"/>
      <c r="G2" s="34"/>
    </row>
    <row r="3" spans="1:16" ht="15.75" x14ac:dyDescent="0.25">
      <c r="A3" s="50" t="s">
        <v>0</v>
      </c>
      <c r="B3" s="49"/>
      <c r="C3" s="49"/>
      <c r="D3" s="49"/>
      <c r="E3" s="35"/>
      <c r="F3" s="35"/>
      <c r="G3" s="35"/>
    </row>
    <row r="6" spans="1:16" ht="19.5" x14ac:dyDescent="0.3">
      <c r="A6" s="51"/>
      <c r="B6" s="51"/>
      <c r="C6" s="51"/>
      <c r="D6" s="51"/>
      <c r="H6" s="45" t="s">
        <v>1</v>
      </c>
      <c r="I6" s="45" t="s">
        <v>2</v>
      </c>
      <c r="J6" s="45" t="s">
        <v>3</v>
      </c>
      <c r="K6" s="45" t="s">
        <v>4</v>
      </c>
      <c r="L6" s="45"/>
      <c r="M6" s="45" t="s">
        <v>5</v>
      </c>
      <c r="N6" s="45"/>
      <c r="O6" s="46" t="s">
        <v>6</v>
      </c>
      <c r="P6" s="46"/>
    </row>
    <row r="7" spans="1:16" ht="30" x14ac:dyDescent="0.25">
      <c r="A7" s="3" t="s">
        <v>7</v>
      </c>
      <c r="B7" s="4" t="s">
        <v>8</v>
      </c>
      <c r="C7" s="4" t="s">
        <v>9</v>
      </c>
      <c r="D7" s="4" t="s">
        <v>10</v>
      </c>
      <c r="H7" s="45"/>
      <c r="I7" s="45"/>
      <c r="J7" s="45"/>
      <c r="K7" s="33" t="s">
        <v>11</v>
      </c>
      <c r="L7" s="33" t="s">
        <v>12</v>
      </c>
      <c r="M7" s="33" t="s">
        <v>13</v>
      </c>
      <c r="N7" s="33" t="s">
        <v>12</v>
      </c>
      <c r="O7" s="46"/>
      <c r="P7" s="46"/>
    </row>
    <row r="8" spans="1:16" s="10" customFormat="1" ht="30" x14ac:dyDescent="0.25">
      <c r="A8" s="6" t="s">
        <v>14</v>
      </c>
      <c r="B8" s="7">
        <v>4</v>
      </c>
      <c r="C8" s="8">
        <f>L8</f>
        <v>0.89613095238095242</v>
      </c>
      <c r="D8" s="8">
        <v>0.1</v>
      </c>
      <c r="E8" s="9"/>
      <c r="H8" s="11" t="s">
        <v>14</v>
      </c>
      <c r="I8" s="7">
        <v>4</v>
      </c>
      <c r="J8" s="12">
        <f>4*8*21</f>
        <v>672</v>
      </c>
      <c r="K8" s="13">
        <f>131.4+161.18+3.22+172.3+134.1</f>
        <v>602.20000000000005</v>
      </c>
      <c r="L8" s="14">
        <f>+K8/J8</f>
        <v>0.89613095238095242</v>
      </c>
      <c r="M8" s="13">
        <f>16+32+1.5+0.3+16+3.2+3.3+40+1.5+32</f>
        <v>145.80000000000001</v>
      </c>
      <c r="N8" s="14">
        <v>0.1</v>
      </c>
      <c r="O8" s="15">
        <f t="shared" ref="O8" si="0">+L8+N8</f>
        <v>0.99613095238095239</v>
      </c>
      <c r="P8" s="12">
        <f t="shared" ref="P8" si="1">+K8+M8</f>
        <v>748</v>
      </c>
    </row>
    <row r="9" spans="1:16" s="10" customFormat="1" x14ac:dyDescent="0.25">
      <c r="A9" s="6" t="s">
        <v>15</v>
      </c>
      <c r="B9" s="7">
        <v>1</v>
      </c>
      <c r="C9" s="8">
        <f>L9</f>
        <v>0.97897727272727275</v>
      </c>
      <c r="D9" s="8">
        <f>N9</f>
        <v>1.8749999999999999E-2</v>
      </c>
      <c r="E9" s="9"/>
      <c r="H9" s="6" t="s">
        <v>15</v>
      </c>
      <c r="I9" s="7">
        <v>1</v>
      </c>
      <c r="J9" s="12">
        <f>8*1*22</f>
        <v>176</v>
      </c>
      <c r="K9" s="13">
        <v>172.3</v>
      </c>
      <c r="L9" s="14">
        <f>K9/J9</f>
        <v>0.97897727272727275</v>
      </c>
      <c r="M9" s="13">
        <v>3.3</v>
      </c>
      <c r="N9" s="14">
        <f>+M9/J9</f>
        <v>1.8749999999999999E-2</v>
      </c>
      <c r="O9" s="15">
        <f>L9+N9</f>
        <v>0.9977272727272728</v>
      </c>
      <c r="P9" s="13">
        <f>K9+M9</f>
        <v>175.60000000000002</v>
      </c>
    </row>
    <row r="10" spans="1:16" s="10" customFormat="1" x14ac:dyDescent="0.25">
      <c r="A10" s="16" t="s">
        <v>16</v>
      </c>
      <c r="B10" s="12">
        <v>3</v>
      </c>
      <c r="C10" s="8">
        <f t="shared" ref="C10:C11" si="2">L10</f>
        <v>0.97026515151515147</v>
      </c>
      <c r="D10" s="8">
        <f t="shared" ref="D10:D11" si="3">N10</f>
        <v>2.7462121212121212E-2</v>
      </c>
      <c r="E10" s="9"/>
      <c r="H10" s="16" t="s">
        <v>16</v>
      </c>
      <c r="I10" s="12">
        <v>3</v>
      </c>
      <c r="J10" s="12">
        <f>8*3*22</f>
        <v>528</v>
      </c>
      <c r="K10" s="13">
        <f>172.4+169.5+143.26+27.14</f>
        <v>512.29999999999995</v>
      </c>
      <c r="L10" s="14">
        <f t="shared" ref="L10:L11" si="4">+K10/J10</f>
        <v>0.97026515151515147</v>
      </c>
      <c r="M10" s="13">
        <f>5.2+6.1+3.2</f>
        <v>14.5</v>
      </c>
      <c r="N10" s="14">
        <f t="shared" ref="N10:N11" si="5">+M10/J10</f>
        <v>2.7462121212121212E-2</v>
      </c>
      <c r="O10" s="15">
        <f t="shared" ref="O10:O11" si="6">+L10+N10</f>
        <v>0.99772727272727268</v>
      </c>
      <c r="P10" s="12">
        <f t="shared" ref="P10:P11" si="7">+K10+M10</f>
        <v>526.79999999999995</v>
      </c>
    </row>
    <row r="11" spans="1:16" s="10" customFormat="1" x14ac:dyDescent="0.25">
      <c r="A11" s="16" t="s">
        <v>17</v>
      </c>
      <c r="B11" s="12">
        <v>4</v>
      </c>
      <c r="C11" s="8">
        <f t="shared" si="2"/>
        <v>0.66264204545454541</v>
      </c>
      <c r="D11" s="8">
        <f t="shared" si="3"/>
        <v>0.33622159090909093</v>
      </c>
      <c r="E11" s="9"/>
      <c r="H11" s="16" t="s">
        <v>17</v>
      </c>
      <c r="I11" s="12">
        <v>4</v>
      </c>
      <c r="J11" s="12">
        <f>8*4*22</f>
        <v>704</v>
      </c>
      <c r="K11" s="13">
        <f>166.2+165.3+135</f>
        <v>466.5</v>
      </c>
      <c r="L11" s="14">
        <f t="shared" si="4"/>
        <v>0.66264204545454541</v>
      </c>
      <c r="M11" s="13">
        <f>16+160+8+1.4+2.3+16+24+1+8</f>
        <v>236.70000000000002</v>
      </c>
      <c r="N11" s="17">
        <f t="shared" si="5"/>
        <v>0.33622159090909093</v>
      </c>
      <c r="O11" s="15">
        <f t="shared" si="6"/>
        <v>0.99886363636363629</v>
      </c>
      <c r="P11" s="12">
        <f t="shared" si="7"/>
        <v>703.2</v>
      </c>
    </row>
    <row r="12" spans="1:16" x14ac:dyDescent="0.25">
      <c r="A12" s="18"/>
      <c r="B12" s="19"/>
      <c r="C12" s="20"/>
      <c r="D12" s="20"/>
      <c r="M12" s="21"/>
    </row>
    <row r="13" spans="1:16" x14ac:dyDescent="0.25">
      <c r="A13" s="18"/>
      <c r="B13" s="19"/>
      <c r="C13" s="20"/>
      <c r="D13" s="20"/>
      <c r="L13" s="22"/>
    </row>
    <row r="14" spans="1:16" x14ac:dyDescent="0.25">
      <c r="A14" s="18"/>
      <c r="B14" s="19"/>
      <c r="C14" s="20"/>
      <c r="D14" s="23"/>
      <c r="L14" s="21"/>
    </row>
    <row r="15" spans="1:16" x14ac:dyDescent="0.25">
      <c r="A15" s="18"/>
      <c r="B15" s="19"/>
      <c r="C15" s="20"/>
      <c r="D15" s="20"/>
      <c r="K15" s="21"/>
    </row>
    <row r="16" spans="1:16" x14ac:dyDescent="0.25">
      <c r="A16" s="18"/>
      <c r="B16" s="19"/>
      <c r="C16" s="20"/>
      <c r="D16" s="20"/>
      <c r="K16" s="21"/>
    </row>
    <row r="17" spans="1:4" x14ac:dyDescent="0.25">
      <c r="A17" s="18"/>
      <c r="B17" s="19"/>
      <c r="C17" s="20"/>
      <c r="D17" s="20"/>
    </row>
    <row r="18" spans="1:4" x14ac:dyDescent="0.25">
      <c r="A18" s="18"/>
      <c r="B18" s="19"/>
      <c r="C18" s="20"/>
      <c r="D18" s="20"/>
    </row>
    <row r="19" spans="1:4" x14ac:dyDescent="0.25">
      <c r="A19" s="18"/>
      <c r="B19" s="19"/>
      <c r="C19" s="20"/>
      <c r="D19" s="20"/>
    </row>
    <row r="20" spans="1:4" x14ac:dyDescent="0.25">
      <c r="A20" s="18"/>
      <c r="B20" s="19"/>
      <c r="C20" s="20"/>
      <c r="D20" s="20"/>
    </row>
    <row r="21" spans="1:4" x14ac:dyDescent="0.25">
      <c r="A21" s="18"/>
      <c r="B21" s="19"/>
      <c r="C21" s="20"/>
      <c r="D21" s="20"/>
    </row>
    <row r="22" spans="1:4" x14ac:dyDescent="0.25">
      <c r="A22" s="18"/>
      <c r="B22" s="19"/>
      <c r="C22" s="20"/>
      <c r="D22" s="20"/>
    </row>
    <row r="23" spans="1:4" x14ac:dyDescent="0.25">
      <c r="A23" s="18"/>
      <c r="B23" s="19"/>
      <c r="C23" s="20"/>
      <c r="D23" s="20"/>
    </row>
    <row r="24" spans="1:4" x14ac:dyDescent="0.25">
      <c r="A24" s="18"/>
      <c r="B24" s="19"/>
      <c r="C24" s="20"/>
      <c r="D24" s="20"/>
    </row>
    <row r="25" spans="1:4" x14ac:dyDescent="0.25">
      <c r="A25" s="18"/>
      <c r="B25" s="19"/>
      <c r="C25" s="20"/>
      <c r="D25" s="20"/>
    </row>
    <row r="26" spans="1:4" x14ac:dyDescent="0.25">
      <c r="A26" s="18"/>
      <c r="B26" s="19"/>
      <c r="C26" s="20"/>
      <c r="D26" s="20"/>
    </row>
    <row r="31" spans="1:4" x14ac:dyDescent="0.25">
      <c r="A31" s="47" t="s">
        <v>18</v>
      </c>
      <c r="B31" s="47"/>
      <c r="C31" s="47"/>
      <c r="D31" s="47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1"/>
  <sheetViews>
    <sheetView workbookViewId="0">
      <selection sqref="A1:XFD1048576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hidden="1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8" width="9.140625" hidden="1" customWidth="1"/>
    <col min="19" max="45" width="9.140625" customWidth="1"/>
  </cols>
  <sheetData>
    <row r="1" spans="1:16" ht="19.5" x14ac:dyDescent="0.25">
      <c r="A1" s="48" t="s">
        <v>21</v>
      </c>
      <c r="B1" s="49"/>
      <c r="C1" s="49"/>
      <c r="D1" s="49"/>
      <c r="E1" s="25"/>
      <c r="F1" s="25"/>
      <c r="G1" s="25"/>
    </row>
    <row r="2" spans="1:16" ht="19.5" x14ac:dyDescent="0.25">
      <c r="A2" s="25"/>
      <c r="B2" s="25"/>
      <c r="C2" s="25"/>
      <c r="D2" s="25"/>
      <c r="E2" s="25"/>
      <c r="F2" s="25"/>
      <c r="G2" s="25"/>
    </row>
    <row r="3" spans="1:16" ht="15.75" x14ac:dyDescent="0.25">
      <c r="A3" s="50" t="s">
        <v>0</v>
      </c>
      <c r="B3" s="49"/>
      <c r="C3" s="49"/>
      <c r="D3" s="49"/>
      <c r="E3" s="26"/>
      <c r="F3" s="26"/>
      <c r="G3" s="26"/>
    </row>
    <row r="6" spans="1:16" ht="19.5" x14ac:dyDescent="0.3">
      <c r="A6" s="51"/>
      <c r="B6" s="51"/>
      <c r="C6" s="51"/>
      <c r="D6" s="51"/>
      <c r="H6" s="45" t="s">
        <v>1</v>
      </c>
      <c r="I6" s="45" t="s">
        <v>2</v>
      </c>
      <c r="J6" s="45" t="s">
        <v>3</v>
      </c>
      <c r="K6" s="45" t="s">
        <v>4</v>
      </c>
      <c r="L6" s="45"/>
      <c r="M6" s="45" t="s">
        <v>5</v>
      </c>
      <c r="N6" s="45"/>
      <c r="O6" s="46" t="s">
        <v>6</v>
      </c>
      <c r="P6" s="46"/>
    </row>
    <row r="7" spans="1:16" ht="30" x14ac:dyDescent="0.25">
      <c r="A7" s="3" t="s">
        <v>7</v>
      </c>
      <c r="B7" s="4" t="s">
        <v>8</v>
      </c>
      <c r="C7" s="4" t="s">
        <v>9</v>
      </c>
      <c r="D7" s="4" t="s">
        <v>10</v>
      </c>
      <c r="H7" s="45"/>
      <c r="I7" s="45"/>
      <c r="J7" s="45"/>
      <c r="K7" s="24" t="s">
        <v>11</v>
      </c>
      <c r="L7" s="24" t="s">
        <v>12</v>
      </c>
      <c r="M7" s="24" t="s">
        <v>13</v>
      </c>
      <c r="N7" s="24" t="s">
        <v>12</v>
      </c>
      <c r="O7" s="46"/>
      <c r="P7" s="46"/>
    </row>
    <row r="8" spans="1:16" s="10" customFormat="1" ht="30" x14ac:dyDescent="0.25">
      <c r="A8" s="6" t="s">
        <v>14</v>
      </c>
      <c r="B8" s="7">
        <v>4</v>
      </c>
      <c r="C8" s="8">
        <f>L8</f>
        <v>0.89210526315789473</v>
      </c>
      <c r="D8" s="8">
        <f>N8</f>
        <v>0.10707236842105265</v>
      </c>
      <c r="E8" s="9"/>
      <c r="H8" s="11" t="s">
        <v>14</v>
      </c>
      <c r="I8" s="7">
        <v>4</v>
      </c>
      <c r="J8" s="12">
        <f>4*8*19</f>
        <v>608</v>
      </c>
      <c r="K8" s="13">
        <f>129+127.56+142.14+140.2+1.46+2.04</f>
        <v>542.4</v>
      </c>
      <c r="L8" s="14">
        <f>+K8/J8</f>
        <v>0.89210526315789473</v>
      </c>
      <c r="M8" s="13">
        <f>8+11.3+3.3+20+3.1+8+8+3.4</f>
        <v>65.100000000000009</v>
      </c>
      <c r="N8" s="14">
        <f>M8/J8</f>
        <v>0.10707236842105265</v>
      </c>
      <c r="O8" s="15">
        <f t="shared" ref="O8" si="0">+L8+N8</f>
        <v>0.99917763157894735</v>
      </c>
      <c r="P8" s="12">
        <f t="shared" ref="P8" si="1">+K8+M8</f>
        <v>607.5</v>
      </c>
    </row>
    <row r="9" spans="1:16" s="10" customFormat="1" x14ac:dyDescent="0.25">
      <c r="A9" s="6" t="s">
        <v>15</v>
      </c>
      <c r="B9" s="7">
        <v>1</v>
      </c>
      <c r="C9" s="8">
        <f>L9</f>
        <v>0.78223684210526323</v>
      </c>
      <c r="D9" s="8">
        <f>N9</f>
        <v>0.21973684210526315</v>
      </c>
      <c r="E9" s="9"/>
      <c r="H9" s="6" t="s">
        <v>15</v>
      </c>
      <c r="I9" s="7">
        <v>1</v>
      </c>
      <c r="J9" s="12">
        <f>8*1*19</f>
        <v>152</v>
      </c>
      <c r="K9" s="13">
        <f>116.39+2.51</f>
        <v>118.9</v>
      </c>
      <c r="L9" s="14">
        <f>K9/J9</f>
        <v>0.78223684210526323</v>
      </c>
      <c r="M9" s="13">
        <f>24+1.4+8</f>
        <v>33.4</v>
      </c>
      <c r="N9" s="14">
        <f>+M9/J9</f>
        <v>0.21973684210526315</v>
      </c>
      <c r="O9" s="15">
        <f>L9+N9</f>
        <v>1.0019736842105265</v>
      </c>
      <c r="P9" s="13">
        <f>K9+M9</f>
        <v>152.30000000000001</v>
      </c>
    </row>
    <row r="10" spans="1:16" s="10" customFormat="1" x14ac:dyDescent="0.25">
      <c r="A10" s="16" t="s">
        <v>16</v>
      </c>
      <c r="B10" s="12">
        <v>3</v>
      </c>
      <c r="C10" s="8">
        <f t="shared" ref="C10:C11" si="2">L10</f>
        <v>0.93837719298245614</v>
      </c>
      <c r="D10" s="8">
        <f t="shared" ref="D10:D11" si="3">N10</f>
        <v>5.8114035087719298E-2</v>
      </c>
      <c r="E10" s="9"/>
      <c r="H10" s="16" t="s">
        <v>16</v>
      </c>
      <c r="I10" s="12">
        <v>3</v>
      </c>
      <c r="J10" s="12">
        <f>8*3*19</f>
        <v>456</v>
      </c>
      <c r="K10" s="13">
        <f>142.09+1.51+142.3+124.43+17.57</f>
        <v>427.9</v>
      </c>
      <c r="L10" s="14">
        <f t="shared" ref="L10:L11" si="4">+K10/J10</f>
        <v>0.93837719298245614</v>
      </c>
      <c r="M10" s="13">
        <f>8+8+1.3+9.2</f>
        <v>26.5</v>
      </c>
      <c r="N10" s="14">
        <f t="shared" ref="N10:N11" si="5">+M10/J10</f>
        <v>5.8114035087719298E-2</v>
      </c>
      <c r="O10" s="15">
        <f t="shared" ref="O10:O11" si="6">+L10+N10</f>
        <v>0.99649122807017543</v>
      </c>
      <c r="P10" s="12">
        <f t="shared" ref="P10:P11" si="7">+K10+M10</f>
        <v>454.4</v>
      </c>
    </row>
    <row r="11" spans="1:16" s="10" customFormat="1" x14ac:dyDescent="0.25">
      <c r="A11" s="16" t="s">
        <v>17</v>
      </c>
      <c r="B11" s="12">
        <v>4</v>
      </c>
      <c r="C11" s="8">
        <f t="shared" si="2"/>
        <v>0.82121710526315783</v>
      </c>
      <c r="D11" s="8">
        <f t="shared" si="3"/>
        <v>0.17615131578947368</v>
      </c>
      <c r="E11" s="9"/>
      <c r="H11" s="16" t="s">
        <v>17</v>
      </c>
      <c r="I11" s="12">
        <v>4</v>
      </c>
      <c r="J11" s="12">
        <f>8*4*19</f>
        <v>608</v>
      </c>
      <c r="K11" s="13">
        <f>76.5+138.5+134.2+150.1</f>
        <v>499.29999999999995</v>
      </c>
      <c r="L11" s="14">
        <f t="shared" si="4"/>
        <v>0.82121710526315783</v>
      </c>
      <c r="M11" s="13">
        <f>28+8+32+7.1+8+5.1+16+1.4+1.5</f>
        <v>107.1</v>
      </c>
      <c r="N11" s="17">
        <f t="shared" si="5"/>
        <v>0.17615131578947368</v>
      </c>
      <c r="O11" s="15">
        <f t="shared" si="6"/>
        <v>0.99736842105263146</v>
      </c>
      <c r="P11" s="12">
        <f t="shared" si="7"/>
        <v>606.4</v>
      </c>
    </row>
    <row r="12" spans="1:16" x14ac:dyDescent="0.25">
      <c r="A12" s="18"/>
      <c r="B12" s="19"/>
      <c r="C12" s="20"/>
      <c r="D12" s="20"/>
      <c r="M12" s="21"/>
    </row>
    <row r="13" spans="1:16" x14ac:dyDescent="0.25">
      <c r="A13" s="18"/>
      <c r="B13" s="19"/>
      <c r="C13" s="20"/>
      <c r="D13" s="20"/>
      <c r="L13" s="22"/>
    </row>
    <row r="14" spans="1:16" x14ac:dyDescent="0.25">
      <c r="A14" s="18"/>
      <c r="B14" s="19"/>
      <c r="C14" s="20"/>
      <c r="D14" s="23"/>
      <c r="L14" s="21"/>
    </row>
    <row r="15" spans="1:16" x14ac:dyDescent="0.25">
      <c r="A15" s="18"/>
      <c r="B15" s="19"/>
      <c r="C15" s="20"/>
      <c r="D15" s="20"/>
      <c r="K15" s="21"/>
    </row>
    <row r="16" spans="1:16" x14ac:dyDescent="0.25">
      <c r="A16" s="18"/>
      <c r="B16" s="19"/>
      <c r="C16" s="20"/>
      <c r="D16" s="20"/>
      <c r="K16" s="21"/>
    </row>
    <row r="17" spans="1:4" x14ac:dyDescent="0.25">
      <c r="A17" s="18"/>
      <c r="B17" s="19"/>
      <c r="C17" s="20"/>
      <c r="D17" s="20"/>
    </row>
    <row r="18" spans="1:4" x14ac:dyDescent="0.25">
      <c r="A18" s="18"/>
      <c r="B18" s="19"/>
      <c r="C18" s="20"/>
      <c r="D18" s="20"/>
    </row>
    <row r="19" spans="1:4" x14ac:dyDescent="0.25">
      <c r="A19" s="18"/>
      <c r="B19" s="19"/>
      <c r="C19" s="20"/>
      <c r="D19" s="20"/>
    </row>
    <row r="20" spans="1:4" x14ac:dyDescent="0.25">
      <c r="A20" s="18"/>
      <c r="B20" s="19"/>
      <c r="C20" s="20"/>
      <c r="D20" s="20"/>
    </row>
    <row r="21" spans="1:4" x14ac:dyDescent="0.25">
      <c r="A21" s="18"/>
      <c r="B21" s="19"/>
      <c r="C21" s="20"/>
      <c r="D21" s="20"/>
    </row>
    <row r="22" spans="1:4" x14ac:dyDescent="0.25">
      <c r="A22" s="18"/>
      <c r="B22" s="19"/>
      <c r="C22" s="20"/>
      <c r="D22" s="20"/>
    </row>
    <row r="23" spans="1:4" x14ac:dyDescent="0.25">
      <c r="A23" s="18"/>
      <c r="B23" s="19"/>
      <c r="C23" s="20"/>
      <c r="D23" s="20"/>
    </row>
    <row r="24" spans="1:4" x14ac:dyDescent="0.25">
      <c r="A24" s="18"/>
      <c r="B24" s="19"/>
      <c r="C24" s="20"/>
      <c r="D24" s="20"/>
    </row>
    <row r="25" spans="1:4" x14ac:dyDescent="0.25">
      <c r="A25" s="18"/>
      <c r="B25" s="19"/>
      <c r="C25" s="20"/>
      <c r="D25" s="20"/>
    </row>
    <row r="26" spans="1:4" x14ac:dyDescent="0.25">
      <c r="A26" s="18"/>
      <c r="B26" s="19"/>
      <c r="C26" s="20"/>
      <c r="D26" s="20"/>
    </row>
    <row r="31" spans="1:4" x14ac:dyDescent="0.25">
      <c r="A31" s="47" t="s">
        <v>18</v>
      </c>
      <c r="B31" s="47"/>
      <c r="C31" s="47"/>
      <c r="D31" s="47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1"/>
  <sheetViews>
    <sheetView workbookViewId="0">
      <selection activeCell="B4" sqref="B4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hidden="1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7" width="9.140625" hidden="1" customWidth="1"/>
    <col min="18" max="45" width="9.140625" customWidth="1"/>
  </cols>
  <sheetData>
    <row r="1" spans="1:16" ht="19.5" x14ac:dyDescent="0.25">
      <c r="A1" s="48" t="s">
        <v>22</v>
      </c>
      <c r="B1" s="49"/>
      <c r="C1" s="49"/>
      <c r="D1" s="49"/>
      <c r="E1" s="28"/>
      <c r="F1" s="28"/>
      <c r="G1" s="28"/>
    </row>
    <row r="2" spans="1:16" ht="19.5" x14ac:dyDescent="0.25">
      <c r="A2" s="28"/>
      <c r="B2" s="28"/>
      <c r="C2" s="28"/>
      <c r="D2" s="28"/>
      <c r="E2" s="28"/>
      <c r="F2" s="28"/>
      <c r="G2" s="28"/>
    </row>
    <row r="3" spans="1:16" ht="15.75" x14ac:dyDescent="0.25">
      <c r="A3" s="50" t="s">
        <v>0</v>
      </c>
      <c r="B3" s="49"/>
      <c r="C3" s="49"/>
      <c r="D3" s="49"/>
      <c r="E3" s="29"/>
      <c r="F3" s="29"/>
      <c r="G3" s="29"/>
    </row>
    <row r="6" spans="1:16" ht="19.5" x14ac:dyDescent="0.3">
      <c r="A6" s="51"/>
      <c r="B6" s="51"/>
      <c r="C6" s="51"/>
      <c r="D6" s="51"/>
      <c r="H6" s="45" t="s">
        <v>1</v>
      </c>
      <c r="I6" s="45" t="s">
        <v>2</v>
      </c>
      <c r="J6" s="45" t="s">
        <v>3</v>
      </c>
      <c r="K6" s="45" t="s">
        <v>4</v>
      </c>
      <c r="L6" s="45"/>
      <c r="M6" s="45" t="s">
        <v>5</v>
      </c>
      <c r="N6" s="45"/>
      <c r="O6" s="46" t="s">
        <v>6</v>
      </c>
      <c r="P6" s="46"/>
    </row>
    <row r="7" spans="1:16" ht="30" x14ac:dyDescent="0.25">
      <c r="A7" s="3" t="s">
        <v>7</v>
      </c>
      <c r="B7" s="4" t="s">
        <v>8</v>
      </c>
      <c r="C7" s="4" t="s">
        <v>9</v>
      </c>
      <c r="D7" s="4" t="s">
        <v>10</v>
      </c>
      <c r="H7" s="45"/>
      <c r="I7" s="45"/>
      <c r="J7" s="45"/>
      <c r="K7" s="27" t="s">
        <v>11</v>
      </c>
      <c r="L7" s="27" t="s">
        <v>12</v>
      </c>
      <c r="M7" s="27" t="s">
        <v>13</v>
      </c>
      <c r="N7" s="27" t="s">
        <v>12</v>
      </c>
      <c r="O7" s="46"/>
      <c r="P7" s="46"/>
    </row>
    <row r="8" spans="1:16" s="10" customFormat="1" ht="30" x14ac:dyDescent="0.25">
      <c r="A8" s="6" t="s">
        <v>14</v>
      </c>
      <c r="B8" s="7">
        <v>4</v>
      </c>
      <c r="C8" s="8">
        <v>0.98</v>
      </c>
      <c r="D8" s="8">
        <f>N8</f>
        <v>2.2869318181818185E-2</v>
      </c>
      <c r="E8" s="9"/>
      <c r="H8" s="11" t="s">
        <v>14</v>
      </c>
      <c r="I8" s="7">
        <v>4</v>
      </c>
      <c r="J8" s="12">
        <f>4*8*22</f>
        <v>704</v>
      </c>
      <c r="K8" s="13">
        <f>163.4+167.22+7.58+174+174.1</f>
        <v>686.30000000000007</v>
      </c>
      <c r="L8" s="14">
        <f>+K8/J8</f>
        <v>0.97485795454545465</v>
      </c>
      <c r="M8" s="13">
        <f>8+1+3.2+0.4+2+1.5</f>
        <v>16.100000000000001</v>
      </c>
      <c r="N8" s="14">
        <f>M8/J8</f>
        <v>2.2869318181818185E-2</v>
      </c>
      <c r="O8" s="15">
        <f t="shared" ref="O8" si="0">+L8+N8</f>
        <v>0.9977272727272728</v>
      </c>
      <c r="P8" s="12">
        <f t="shared" ref="P8" si="1">+K8+M8</f>
        <v>702.40000000000009</v>
      </c>
    </row>
    <row r="9" spans="1:16" s="10" customFormat="1" x14ac:dyDescent="0.25">
      <c r="A9" s="6" t="s">
        <v>15</v>
      </c>
      <c r="B9" s="7">
        <v>1</v>
      </c>
      <c r="C9" s="8">
        <f>L9</f>
        <v>0.95113636363636367</v>
      </c>
      <c r="D9" s="8">
        <f>N9</f>
        <v>4.6590909090909086E-2</v>
      </c>
      <c r="E9" s="9"/>
      <c r="H9" s="6" t="s">
        <v>15</v>
      </c>
      <c r="I9" s="7">
        <v>1</v>
      </c>
      <c r="J9" s="12">
        <f>8*1*22</f>
        <v>176</v>
      </c>
      <c r="K9" s="13">
        <v>167.4</v>
      </c>
      <c r="L9" s="14">
        <f>K9/J9</f>
        <v>0.95113636363636367</v>
      </c>
      <c r="M9" s="13">
        <v>8.1999999999999993</v>
      </c>
      <c r="N9" s="14">
        <f>+M9/J9</f>
        <v>4.6590909090909086E-2</v>
      </c>
      <c r="O9" s="15">
        <f>L9+N9</f>
        <v>0.9977272727272728</v>
      </c>
      <c r="P9" s="13">
        <f>K9+M9</f>
        <v>175.6</v>
      </c>
    </row>
    <row r="10" spans="1:16" s="10" customFormat="1" x14ac:dyDescent="0.25">
      <c r="A10" s="16" t="s">
        <v>16</v>
      </c>
      <c r="B10" s="12">
        <v>3</v>
      </c>
      <c r="C10" s="8">
        <f t="shared" ref="C10:C11" si="2">L10</f>
        <v>0.92916666666666659</v>
      </c>
      <c r="D10" s="8">
        <f t="shared" ref="D10:D11" si="3">N10</f>
        <v>6.9696969696969688E-2</v>
      </c>
      <c r="E10" s="9"/>
      <c r="H10" s="16" t="s">
        <v>16</v>
      </c>
      <c r="I10" s="12">
        <v>3</v>
      </c>
      <c r="J10" s="12">
        <f>8*3*22</f>
        <v>528</v>
      </c>
      <c r="K10" s="13">
        <f>171.4+166.4+131.23+21.57</f>
        <v>490.59999999999997</v>
      </c>
      <c r="L10" s="14">
        <f t="shared" ref="L10:L11" si="4">+K10/J10</f>
        <v>0.92916666666666659</v>
      </c>
      <c r="M10" s="13">
        <f>4.2+11.2+8+8+5.4</f>
        <v>36.799999999999997</v>
      </c>
      <c r="N10" s="14">
        <f t="shared" ref="N10:N11" si="5">+M10/J10</f>
        <v>6.9696969696969688E-2</v>
      </c>
      <c r="O10" s="15">
        <f t="shared" ref="O10:O11" si="6">+L10+N10</f>
        <v>0.99886363636363629</v>
      </c>
      <c r="P10" s="12">
        <f t="shared" ref="P10:P11" si="7">+K10+M10</f>
        <v>527.4</v>
      </c>
    </row>
    <row r="11" spans="1:16" s="10" customFormat="1" x14ac:dyDescent="0.25">
      <c r="A11" s="16" t="s">
        <v>17</v>
      </c>
      <c r="B11" s="12">
        <v>4</v>
      </c>
      <c r="C11" s="8">
        <f t="shared" si="2"/>
        <v>0.81903409090909096</v>
      </c>
      <c r="D11" s="8">
        <f t="shared" si="3"/>
        <v>0.17897727272727273</v>
      </c>
      <c r="E11" s="9"/>
      <c r="H11" s="16" t="s">
        <v>17</v>
      </c>
      <c r="I11" s="12">
        <v>4</v>
      </c>
      <c r="J11" s="12">
        <f>8*4*22</f>
        <v>704</v>
      </c>
      <c r="K11" s="13">
        <f>111.2+134.1+171.3+160</f>
        <v>576.6</v>
      </c>
      <c r="L11" s="14">
        <f t="shared" si="4"/>
        <v>0.81903409090909096</v>
      </c>
      <c r="M11" s="13">
        <f>42+8+14.2+24+17.5+4.3+8+8</f>
        <v>126</v>
      </c>
      <c r="N11" s="17">
        <f t="shared" si="5"/>
        <v>0.17897727272727273</v>
      </c>
      <c r="O11" s="15">
        <f t="shared" si="6"/>
        <v>0.99801136363636367</v>
      </c>
      <c r="P11" s="12">
        <f t="shared" si="7"/>
        <v>702.6</v>
      </c>
    </row>
    <row r="12" spans="1:16" x14ac:dyDescent="0.25">
      <c r="A12" s="18"/>
      <c r="B12" s="19"/>
      <c r="C12" s="20"/>
      <c r="D12" s="20"/>
      <c r="M12" s="21"/>
    </row>
    <row r="13" spans="1:16" x14ac:dyDescent="0.25">
      <c r="A13" s="18"/>
      <c r="B13" s="19"/>
      <c r="C13" s="20"/>
      <c r="D13" s="20"/>
      <c r="L13" s="22"/>
    </row>
    <row r="14" spans="1:16" x14ac:dyDescent="0.25">
      <c r="A14" s="18"/>
      <c r="B14" s="19"/>
      <c r="C14" s="20"/>
      <c r="D14" s="23"/>
      <c r="L14" s="21"/>
    </row>
    <row r="15" spans="1:16" x14ac:dyDescent="0.25">
      <c r="A15" s="18"/>
      <c r="B15" s="19"/>
      <c r="C15" s="20"/>
      <c r="D15" s="20"/>
      <c r="K15" s="21"/>
    </row>
    <row r="16" spans="1:16" x14ac:dyDescent="0.25">
      <c r="A16" s="18"/>
      <c r="B16" s="19"/>
      <c r="C16" s="20"/>
      <c r="D16" s="20"/>
      <c r="K16" s="21"/>
    </row>
    <row r="17" spans="1:4" x14ac:dyDescent="0.25">
      <c r="A17" s="18"/>
      <c r="B17" s="19"/>
      <c r="C17" s="20"/>
      <c r="D17" s="20"/>
    </row>
    <row r="18" spans="1:4" x14ac:dyDescent="0.25">
      <c r="A18" s="18"/>
      <c r="B18" s="19"/>
      <c r="C18" s="20"/>
      <c r="D18" s="20"/>
    </row>
    <row r="19" spans="1:4" x14ac:dyDescent="0.25">
      <c r="A19" s="18"/>
      <c r="B19" s="19"/>
      <c r="C19" s="20"/>
      <c r="D19" s="20"/>
    </row>
    <row r="20" spans="1:4" x14ac:dyDescent="0.25">
      <c r="A20" s="18"/>
      <c r="B20" s="19"/>
      <c r="C20" s="20"/>
      <c r="D20" s="20"/>
    </row>
    <row r="21" spans="1:4" x14ac:dyDescent="0.25">
      <c r="A21" s="18"/>
      <c r="B21" s="19"/>
      <c r="C21" s="20"/>
      <c r="D21" s="20"/>
    </row>
    <row r="22" spans="1:4" x14ac:dyDescent="0.25">
      <c r="A22" s="18"/>
      <c r="B22" s="19"/>
      <c r="C22" s="20"/>
      <c r="D22" s="20"/>
    </row>
    <row r="23" spans="1:4" x14ac:dyDescent="0.25">
      <c r="A23" s="18"/>
      <c r="B23" s="19"/>
      <c r="C23" s="20"/>
      <c r="D23" s="20"/>
    </row>
    <row r="24" spans="1:4" x14ac:dyDescent="0.25">
      <c r="A24" s="18"/>
      <c r="B24" s="19"/>
      <c r="C24" s="20"/>
      <c r="D24" s="20"/>
    </row>
    <row r="25" spans="1:4" x14ac:dyDescent="0.25">
      <c r="A25" s="18"/>
      <c r="B25" s="19"/>
      <c r="C25" s="20"/>
      <c r="D25" s="20"/>
    </row>
    <row r="26" spans="1:4" x14ac:dyDescent="0.25">
      <c r="A26" s="18"/>
      <c r="B26" s="19"/>
      <c r="C26" s="20"/>
      <c r="D26" s="20"/>
    </row>
    <row r="31" spans="1:4" x14ac:dyDescent="0.25">
      <c r="A31" s="47" t="s">
        <v>18</v>
      </c>
      <c r="B31" s="47"/>
      <c r="C31" s="47"/>
      <c r="D31" s="47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1"/>
  <sheetViews>
    <sheetView workbookViewId="0">
      <selection sqref="A1:XFD1048576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hidden="1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8" width="9.140625" hidden="1" customWidth="1"/>
    <col min="19" max="45" width="9.140625" customWidth="1"/>
  </cols>
  <sheetData>
    <row r="1" spans="1:16" ht="19.5" x14ac:dyDescent="0.25">
      <c r="A1" s="48" t="s">
        <v>23</v>
      </c>
      <c r="B1" s="49"/>
      <c r="C1" s="49"/>
      <c r="D1" s="49"/>
      <c r="E1" s="31"/>
      <c r="F1" s="31"/>
      <c r="G1" s="31"/>
    </row>
    <row r="2" spans="1:16" ht="19.5" x14ac:dyDescent="0.25">
      <c r="A2" s="31"/>
      <c r="B2" s="31"/>
      <c r="C2" s="31"/>
      <c r="D2" s="31"/>
      <c r="E2" s="31"/>
      <c r="F2" s="31"/>
      <c r="G2" s="31"/>
    </row>
    <row r="3" spans="1:16" ht="15.75" x14ac:dyDescent="0.25">
      <c r="A3" s="50" t="s">
        <v>0</v>
      </c>
      <c r="B3" s="49"/>
      <c r="C3" s="49"/>
      <c r="D3" s="49"/>
      <c r="E3" s="32"/>
      <c r="F3" s="32"/>
      <c r="G3" s="32"/>
    </row>
    <row r="6" spans="1:16" ht="19.5" x14ac:dyDescent="0.3">
      <c r="A6" s="51"/>
      <c r="B6" s="51"/>
      <c r="C6" s="51"/>
      <c r="D6" s="51"/>
      <c r="H6" s="45" t="s">
        <v>1</v>
      </c>
      <c r="I6" s="45" t="s">
        <v>2</v>
      </c>
      <c r="J6" s="45" t="s">
        <v>3</v>
      </c>
      <c r="K6" s="45" t="s">
        <v>4</v>
      </c>
      <c r="L6" s="45"/>
      <c r="M6" s="45" t="s">
        <v>5</v>
      </c>
      <c r="N6" s="45"/>
      <c r="O6" s="46" t="s">
        <v>6</v>
      </c>
      <c r="P6" s="46"/>
    </row>
    <row r="7" spans="1:16" ht="30" x14ac:dyDescent="0.25">
      <c r="A7" s="3" t="s">
        <v>7</v>
      </c>
      <c r="B7" s="4" t="s">
        <v>8</v>
      </c>
      <c r="C7" s="4" t="s">
        <v>9</v>
      </c>
      <c r="D7" s="4" t="s">
        <v>10</v>
      </c>
      <c r="H7" s="45"/>
      <c r="I7" s="45"/>
      <c r="J7" s="45"/>
      <c r="K7" s="30" t="s">
        <v>11</v>
      </c>
      <c r="L7" s="30" t="s">
        <v>12</v>
      </c>
      <c r="M7" s="30" t="s">
        <v>13</v>
      </c>
      <c r="N7" s="30" t="s">
        <v>12</v>
      </c>
      <c r="O7" s="46"/>
      <c r="P7" s="46"/>
    </row>
    <row r="8" spans="1:16" s="10" customFormat="1" ht="30" x14ac:dyDescent="0.25">
      <c r="A8" s="6" t="s">
        <v>14</v>
      </c>
      <c r="B8" s="7">
        <v>4</v>
      </c>
      <c r="C8" s="8">
        <f>L8</f>
        <v>0.90074404761904758</v>
      </c>
      <c r="D8" s="8">
        <v>0.1</v>
      </c>
      <c r="E8" s="9"/>
      <c r="H8" s="11" t="s">
        <v>14</v>
      </c>
      <c r="I8" s="7">
        <v>4</v>
      </c>
      <c r="J8" s="12">
        <f>4*8*21</f>
        <v>672</v>
      </c>
      <c r="K8" s="13">
        <f>158+131.35+3.25+161.26+2.24+149.2</f>
        <v>605.29999999999995</v>
      </c>
      <c r="L8" s="14">
        <f>+K8/J8</f>
        <v>0.90074404761904758</v>
      </c>
      <c r="M8" s="13">
        <f>8+2+24+9+4.1+8+8.3</f>
        <v>63.400000000000006</v>
      </c>
      <c r="N8" s="14">
        <v>0.1</v>
      </c>
      <c r="O8" s="15">
        <f t="shared" ref="O8" si="0">+L8+N8</f>
        <v>1.0007440476190477</v>
      </c>
      <c r="P8" s="12">
        <f t="shared" ref="P8" si="1">+K8+M8</f>
        <v>668.69999999999993</v>
      </c>
    </row>
    <row r="9" spans="1:16" s="10" customFormat="1" x14ac:dyDescent="0.25">
      <c r="A9" s="6" t="s">
        <v>15</v>
      </c>
      <c r="B9" s="7">
        <v>1</v>
      </c>
      <c r="C9" s="8">
        <f>L9</f>
        <v>0.89464285714285718</v>
      </c>
      <c r="D9" s="8">
        <f>N9</f>
        <v>0.10297619047619049</v>
      </c>
      <c r="E9" s="9"/>
      <c r="H9" s="6" t="s">
        <v>15</v>
      </c>
      <c r="I9" s="7">
        <v>1</v>
      </c>
      <c r="J9" s="12">
        <f>8*1*21</f>
        <v>168</v>
      </c>
      <c r="K9" s="13">
        <f>149.12+1.18</f>
        <v>150.30000000000001</v>
      </c>
      <c r="L9" s="14">
        <f>K9/J9</f>
        <v>0.89464285714285718</v>
      </c>
      <c r="M9" s="13">
        <v>17.3</v>
      </c>
      <c r="N9" s="14">
        <f>+M9/J9</f>
        <v>0.10297619047619049</v>
      </c>
      <c r="O9" s="15">
        <f>L9+N9</f>
        <v>0.99761904761904763</v>
      </c>
      <c r="P9" s="13">
        <f>K9+M9</f>
        <v>167.60000000000002</v>
      </c>
    </row>
    <row r="10" spans="1:16" s="10" customFormat="1" x14ac:dyDescent="0.25">
      <c r="A10" s="16" t="s">
        <v>16</v>
      </c>
      <c r="B10" s="12">
        <v>3</v>
      </c>
      <c r="C10" s="8">
        <f t="shared" ref="C10:C11" si="2">L10</f>
        <v>0.91924603174603181</v>
      </c>
      <c r="D10" s="8">
        <f t="shared" ref="D10:D11" si="3">N10</f>
        <v>7.9563492063492072E-2</v>
      </c>
      <c r="E10" s="9"/>
      <c r="H10" s="16" t="s">
        <v>16</v>
      </c>
      <c r="I10" s="12">
        <v>3</v>
      </c>
      <c r="J10" s="12">
        <f>8*3*21</f>
        <v>504</v>
      </c>
      <c r="K10" s="13">
        <f>148.3+149.2+157.31+8.49</f>
        <v>463.3</v>
      </c>
      <c r="L10" s="14">
        <f t="shared" ref="L10:L11" si="4">+K10/J10</f>
        <v>0.91924603174603181</v>
      </c>
      <c r="M10" s="13">
        <f>16+4.3+16+2.4+1.2+0.2</f>
        <v>40.1</v>
      </c>
      <c r="N10" s="14">
        <f t="shared" ref="N10:N11" si="5">+M10/J10</f>
        <v>7.9563492063492072E-2</v>
      </c>
      <c r="O10" s="15">
        <f t="shared" ref="O10:O11" si="6">+L10+N10</f>
        <v>0.99880952380952392</v>
      </c>
      <c r="P10" s="12">
        <f t="shared" ref="P10:P11" si="7">+K10+M10</f>
        <v>503.40000000000003</v>
      </c>
    </row>
    <row r="11" spans="1:16" s="10" customFormat="1" x14ac:dyDescent="0.25">
      <c r="A11" s="16" t="s">
        <v>17</v>
      </c>
      <c r="B11" s="12">
        <v>4</v>
      </c>
      <c r="C11" s="8">
        <f t="shared" si="2"/>
        <v>0.74851190476190477</v>
      </c>
      <c r="D11" s="8">
        <f t="shared" si="3"/>
        <v>0.24970238095238093</v>
      </c>
      <c r="E11" s="9"/>
      <c r="H11" s="16" t="s">
        <v>17</v>
      </c>
      <c r="I11" s="12">
        <v>4</v>
      </c>
      <c r="J11" s="12">
        <f>8*4*21</f>
        <v>672</v>
      </c>
      <c r="K11" s="13">
        <f>120.2+122.4+111.4+149</f>
        <v>503</v>
      </c>
      <c r="L11" s="14">
        <f t="shared" si="4"/>
        <v>0.74851190476190477</v>
      </c>
      <c r="M11" s="13">
        <f>16+3+8.2+48+40+42+3.2+7.4</f>
        <v>167.79999999999998</v>
      </c>
      <c r="N11" s="17">
        <f t="shared" si="5"/>
        <v>0.24970238095238093</v>
      </c>
      <c r="O11" s="15">
        <f t="shared" si="6"/>
        <v>0.99821428571428572</v>
      </c>
      <c r="P11" s="12">
        <f t="shared" si="7"/>
        <v>670.8</v>
      </c>
    </row>
    <row r="12" spans="1:16" x14ac:dyDescent="0.25">
      <c r="A12" s="18"/>
      <c r="B12" s="19"/>
      <c r="C12" s="20"/>
      <c r="D12" s="20"/>
      <c r="M12" s="21"/>
    </row>
    <row r="13" spans="1:16" x14ac:dyDescent="0.25">
      <c r="A13" s="18"/>
      <c r="B13" s="19"/>
      <c r="C13" s="20"/>
      <c r="D13" s="20"/>
      <c r="L13" s="22"/>
    </row>
    <row r="14" spans="1:16" x14ac:dyDescent="0.25">
      <c r="A14" s="18"/>
      <c r="B14" s="19"/>
      <c r="C14" s="20"/>
      <c r="D14" s="23"/>
      <c r="L14" s="21"/>
    </row>
    <row r="15" spans="1:16" x14ac:dyDescent="0.25">
      <c r="A15" s="18"/>
      <c r="B15" s="19"/>
      <c r="C15" s="20"/>
      <c r="D15" s="20"/>
      <c r="K15" s="21"/>
    </row>
    <row r="16" spans="1:16" x14ac:dyDescent="0.25">
      <c r="A16" s="18"/>
      <c r="B16" s="19"/>
      <c r="C16" s="20"/>
      <c r="D16" s="20"/>
      <c r="K16" s="21"/>
    </row>
    <row r="17" spans="1:4" x14ac:dyDescent="0.25">
      <c r="A17" s="18"/>
      <c r="B17" s="19"/>
      <c r="C17" s="20"/>
      <c r="D17" s="20"/>
    </row>
    <row r="18" spans="1:4" x14ac:dyDescent="0.25">
      <c r="A18" s="18"/>
      <c r="B18" s="19"/>
      <c r="C18" s="20"/>
      <c r="D18" s="20"/>
    </row>
    <row r="19" spans="1:4" x14ac:dyDescent="0.25">
      <c r="A19" s="18"/>
      <c r="B19" s="19"/>
      <c r="C19" s="20"/>
      <c r="D19" s="20"/>
    </row>
    <row r="20" spans="1:4" x14ac:dyDescent="0.25">
      <c r="A20" s="18"/>
      <c r="B20" s="19"/>
      <c r="C20" s="20"/>
      <c r="D20" s="20"/>
    </row>
    <row r="21" spans="1:4" x14ac:dyDescent="0.25">
      <c r="A21" s="18"/>
      <c r="B21" s="19"/>
      <c r="C21" s="20"/>
      <c r="D21" s="20"/>
    </row>
    <row r="22" spans="1:4" x14ac:dyDescent="0.25">
      <c r="A22" s="18"/>
      <c r="B22" s="19"/>
      <c r="C22" s="20"/>
      <c r="D22" s="20"/>
    </row>
    <row r="23" spans="1:4" x14ac:dyDescent="0.25">
      <c r="A23" s="18"/>
      <c r="B23" s="19"/>
      <c r="C23" s="20"/>
      <c r="D23" s="20"/>
    </row>
    <row r="24" spans="1:4" x14ac:dyDescent="0.25">
      <c r="A24" s="18"/>
      <c r="B24" s="19"/>
      <c r="C24" s="20"/>
      <c r="D24" s="20"/>
    </row>
    <row r="25" spans="1:4" x14ac:dyDescent="0.25">
      <c r="A25" s="18"/>
      <c r="B25" s="19"/>
      <c r="C25" s="20"/>
      <c r="D25" s="20"/>
    </row>
    <row r="26" spans="1:4" x14ac:dyDescent="0.25">
      <c r="A26" s="18"/>
      <c r="B26" s="19"/>
      <c r="C26" s="20"/>
      <c r="D26" s="20"/>
    </row>
    <row r="31" spans="1:4" x14ac:dyDescent="0.25">
      <c r="A31" s="47" t="s">
        <v>18</v>
      </c>
      <c r="B31" s="47"/>
      <c r="C31" s="47"/>
      <c r="D31" s="47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1"/>
  <sheetViews>
    <sheetView workbookViewId="0">
      <selection sqref="A1:XFD1048576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customWidth="1"/>
    <col min="6" max="6" width="7.7109375" hidden="1" customWidth="1"/>
    <col min="7" max="7" width="17.140625" hidden="1" customWidth="1"/>
    <col min="8" max="13" width="9.140625" hidden="1" customWidth="1"/>
    <col min="14" max="14" width="9.7109375" hidden="1" customWidth="1"/>
    <col min="15" max="16" width="9.140625" hidden="1" customWidth="1"/>
    <col min="17" max="44" width="9.140625" customWidth="1"/>
  </cols>
  <sheetData>
    <row r="1" spans="1:15" ht="19.5" x14ac:dyDescent="0.25">
      <c r="A1" s="48" t="s">
        <v>25</v>
      </c>
      <c r="B1" s="49"/>
      <c r="C1" s="49"/>
      <c r="D1" s="49"/>
      <c r="E1" s="37"/>
      <c r="F1" s="37"/>
    </row>
    <row r="2" spans="1:15" ht="19.5" x14ac:dyDescent="0.25">
      <c r="A2" s="37"/>
      <c r="B2" s="37"/>
      <c r="C2" s="37"/>
      <c r="D2" s="37"/>
      <c r="E2" s="37"/>
      <c r="F2" s="37"/>
    </row>
    <row r="3" spans="1:15" ht="15.75" x14ac:dyDescent="0.25">
      <c r="A3" s="50" t="s">
        <v>0</v>
      </c>
      <c r="B3" s="49"/>
      <c r="C3" s="49"/>
      <c r="D3" s="49"/>
      <c r="E3" s="38"/>
      <c r="F3" s="38"/>
    </row>
    <row r="6" spans="1:15" ht="19.5" x14ac:dyDescent="0.3">
      <c r="A6" s="51"/>
      <c r="B6" s="51"/>
      <c r="C6" s="51"/>
      <c r="D6" s="51"/>
      <c r="G6" s="45" t="s">
        <v>1</v>
      </c>
      <c r="H6" s="45" t="s">
        <v>2</v>
      </c>
      <c r="I6" s="45" t="s">
        <v>3</v>
      </c>
      <c r="J6" s="45" t="s">
        <v>4</v>
      </c>
      <c r="K6" s="45"/>
      <c r="L6" s="45" t="s">
        <v>5</v>
      </c>
      <c r="M6" s="45"/>
      <c r="N6" s="46" t="s">
        <v>6</v>
      </c>
      <c r="O6" s="46"/>
    </row>
    <row r="7" spans="1:15" ht="30" x14ac:dyDescent="0.25">
      <c r="A7" s="3" t="s">
        <v>7</v>
      </c>
      <c r="B7" s="4" t="s">
        <v>8</v>
      </c>
      <c r="C7" s="4" t="s">
        <v>9</v>
      </c>
      <c r="D7" s="4" t="s">
        <v>10</v>
      </c>
      <c r="G7" s="45"/>
      <c r="H7" s="45"/>
      <c r="I7" s="45"/>
      <c r="J7" s="36" t="s">
        <v>11</v>
      </c>
      <c r="K7" s="36" t="s">
        <v>12</v>
      </c>
      <c r="L7" s="36" t="s">
        <v>13</v>
      </c>
      <c r="M7" s="36" t="s">
        <v>12</v>
      </c>
      <c r="N7" s="46"/>
      <c r="O7" s="46"/>
    </row>
    <row r="8" spans="1:15" s="10" customFormat="1" ht="30" x14ac:dyDescent="0.25">
      <c r="A8" s="6" t="s">
        <v>14</v>
      </c>
      <c r="B8" s="7">
        <v>4</v>
      </c>
      <c r="C8" s="8">
        <f>K8</f>
        <v>0.85255681818181828</v>
      </c>
      <c r="D8" s="8">
        <f>M8</f>
        <v>0.14517045454545455</v>
      </c>
      <c r="E8" s="9"/>
      <c r="G8" s="11" t="s">
        <v>14</v>
      </c>
      <c r="H8" s="7">
        <v>4</v>
      </c>
      <c r="I8" s="12">
        <f>4*8*22</f>
        <v>704</v>
      </c>
      <c r="J8" s="13">
        <f>154.07+1.33+156.1+156.31+0.39+132</f>
        <v>600.20000000000005</v>
      </c>
      <c r="K8" s="14">
        <f>+J8/I8</f>
        <v>0.85255681818181828</v>
      </c>
      <c r="L8" s="13">
        <f>40+4+16+4.2+16+3.5+16+2.5</f>
        <v>102.2</v>
      </c>
      <c r="M8" s="14">
        <f>+L8/I8</f>
        <v>0.14517045454545455</v>
      </c>
      <c r="N8" s="15">
        <f t="shared" ref="N8" si="0">+K8+M8</f>
        <v>0.9977272727272728</v>
      </c>
      <c r="O8" s="12">
        <f t="shared" ref="O8" si="1">+J8+L8</f>
        <v>702.40000000000009</v>
      </c>
    </row>
    <row r="9" spans="1:15" s="10" customFormat="1" x14ac:dyDescent="0.25">
      <c r="A9" s="6" t="s">
        <v>15</v>
      </c>
      <c r="B9" s="7">
        <v>1</v>
      </c>
      <c r="C9" s="8">
        <v>0.86</v>
      </c>
      <c r="D9" s="8">
        <f>M9</f>
        <v>0.14318181818181819</v>
      </c>
      <c r="E9" s="9"/>
      <c r="G9" s="6" t="s">
        <v>15</v>
      </c>
      <c r="H9" s="7">
        <v>1</v>
      </c>
      <c r="I9" s="12">
        <f>8*1*22</f>
        <v>176</v>
      </c>
      <c r="J9" s="13">
        <v>150.4</v>
      </c>
      <c r="K9" s="14">
        <f>J9/I9</f>
        <v>0.85454545454545461</v>
      </c>
      <c r="L9" s="13">
        <f>8+16+1.2</f>
        <v>25.2</v>
      </c>
      <c r="M9" s="14">
        <f>+L9/I9</f>
        <v>0.14318181818181819</v>
      </c>
      <c r="N9" s="15">
        <f>K9+M9</f>
        <v>0.9977272727272728</v>
      </c>
      <c r="O9" s="13">
        <f>J9+L9</f>
        <v>175.6</v>
      </c>
    </row>
    <row r="10" spans="1:15" s="10" customFormat="1" x14ac:dyDescent="0.25">
      <c r="A10" s="16" t="s">
        <v>16</v>
      </c>
      <c r="B10" s="12">
        <v>3</v>
      </c>
      <c r="C10" s="8">
        <v>0.82</v>
      </c>
      <c r="D10" s="8">
        <f t="shared" ref="D10:D11" si="2">M10</f>
        <v>0.18409090909090908</v>
      </c>
      <c r="E10" s="9"/>
      <c r="G10" s="16" t="s">
        <v>16</v>
      </c>
      <c r="H10" s="12">
        <v>3</v>
      </c>
      <c r="I10" s="12">
        <f>8*3*22</f>
        <v>528</v>
      </c>
      <c r="J10" s="13">
        <f>133.29+0.31+133.1+148.01+15.29</f>
        <v>430</v>
      </c>
      <c r="K10" s="14">
        <f t="shared" ref="K10:K11" si="3">+J10/I10</f>
        <v>0.81439393939393945</v>
      </c>
      <c r="L10" s="13">
        <f>40+2.4+40+2.5+12.1+0.2</f>
        <v>97.2</v>
      </c>
      <c r="M10" s="14">
        <f t="shared" ref="M10:M11" si="4">+L10/I10</f>
        <v>0.18409090909090908</v>
      </c>
      <c r="N10" s="15">
        <f t="shared" ref="N10:N11" si="5">+K10+M10</f>
        <v>0.99848484848484853</v>
      </c>
      <c r="O10" s="12">
        <f t="shared" ref="O10:O11" si="6">+J10+L10</f>
        <v>527.20000000000005</v>
      </c>
    </row>
    <row r="11" spans="1:15" s="10" customFormat="1" x14ac:dyDescent="0.25">
      <c r="A11" s="16" t="s">
        <v>17</v>
      </c>
      <c r="B11" s="12">
        <v>4</v>
      </c>
      <c r="C11" s="8">
        <f t="shared" ref="C11" si="7">K11</f>
        <v>0.79204545454545461</v>
      </c>
      <c r="D11" s="8">
        <f t="shared" si="2"/>
        <v>0.20823863636363635</v>
      </c>
      <c r="E11" s="9"/>
      <c r="G11" s="16" t="s">
        <v>17</v>
      </c>
      <c r="H11" s="12">
        <v>4</v>
      </c>
      <c r="I11" s="12">
        <f>8*4*22</f>
        <v>704</v>
      </c>
      <c r="J11" s="13">
        <f>129+147.1+119.5+162</f>
        <v>557.6</v>
      </c>
      <c r="K11" s="14">
        <f t="shared" si="3"/>
        <v>0.79204545454545461</v>
      </c>
      <c r="L11" s="13">
        <f>8+6+0.1+56+4.5+2+42+28</f>
        <v>146.6</v>
      </c>
      <c r="M11" s="17">
        <f t="shared" si="4"/>
        <v>0.20823863636363635</v>
      </c>
      <c r="N11" s="15">
        <f t="shared" si="5"/>
        <v>1.0002840909090909</v>
      </c>
      <c r="O11" s="12">
        <f t="shared" si="6"/>
        <v>704.2</v>
      </c>
    </row>
    <row r="12" spans="1:15" x14ac:dyDescent="0.25">
      <c r="A12" s="18"/>
      <c r="B12" s="19"/>
      <c r="C12" s="20"/>
      <c r="D12" s="20"/>
      <c r="L12" s="21"/>
    </row>
    <row r="13" spans="1:15" x14ac:dyDescent="0.25">
      <c r="A13" s="18"/>
      <c r="B13" s="19"/>
      <c r="C13" s="20"/>
      <c r="D13" s="20"/>
      <c r="K13" s="22"/>
    </row>
    <row r="14" spans="1:15" x14ac:dyDescent="0.25">
      <c r="A14" s="18"/>
      <c r="B14" s="19"/>
      <c r="C14" s="20"/>
      <c r="D14" s="23"/>
      <c r="K14" s="21"/>
    </row>
    <row r="15" spans="1:15" x14ac:dyDescent="0.25">
      <c r="A15" s="18"/>
      <c r="B15" s="19"/>
      <c r="C15" s="20"/>
      <c r="D15" s="20"/>
      <c r="J15" s="21"/>
    </row>
    <row r="16" spans="1:15" x14ac:dyDescent="0.25">
      <c r="A16" s="18"/>
      <c r="B16" s="19"/>
      <c r="C16" s="20"/>
      <c r="D16" s="20"/>
      <c r="J16" s="21"/>
    </row>
    <row r="17" spans="1:4" x14ac:dyDescent="0.25">
      <c r="A17" s="18"/>
      <c r="B17" s="19"/>
      <c r="C17" s="20"/>
      <c r="D17" s="20"/>
    </row>
    <row r="18" spans="1:4" x14ac:dyDescent="0.25">
      <c r="A18" s="18"/>
      <c r="B18" s="19"/>
      <c r="C18" s="20"/>
      <c r="D18" s="20"/>
    </row>
    <row r="19" spans="1:4" x14ac:dyDescent="0.25">
      <c r="A19" s="18"/>
      <c r="B19" s="19"/>
      <c r="C19" s="20"/>
      <c r="D19" s="20"/>
    </row>
    <row r="20" spans="1:4" x14ac:dyDescent="0.25">
      <c r="A20" s="18"/>
      <c r="B20" s="19"/>
      <c r="C20" s="20"/>
      <c r="D20" s="20"/>
    </row>
    <row r="21" spans="1:4" x14ac:dyDescent="0.25">
      <c r="A21" s="18"/>
      <c r="B21" s="19"/>
      <c r="C21" s="20"/>
      <c r="D21" s="20"/>
    </row>
    <row r="22" spans="1:4" x14ac:dyDescent="0.25">
      <c r="A22" s="18"/>
      <c r="B22" s="19"/>
      <c r="C22" s="20"/>
      <c r="D22" s="20"/>
    </row>
    <row r="23" spans="1:4" x14ac:dyDescent="0.25">
      <c r="A23" s="18"/>
      <c r="B23" s="19"/>
      <c r="C23" s="20"/>
      <c r="D23" s="20"/>
    </row>
    <row r="24" spans="1:4" x14ac:dyDescent="0.25">
      <c r="A24" s="18"/>
      <c r="B24" s="19"/>
      <c r="C24" s="20"/>
      <c r="D24" s="20"/>
    </row>
    <row r="25" spans="1:4" x14ac:dyDescent="0.25">
      <c r="A25" s="18"/>
      <c r="B25" s="19"/>
      <c r="C25" s="20"/>
      <c r="D25" s="20"/>
    </row>
    <row r="26" spans="1:4" x14ac:dyDescent="0.25">
      <c r="A26" s="18"/>
      <c r="B26" s="19"/>
      <c r="C26" s="20"/>
      <c r="D26" s="20"/>
    </row>
    <row r="31" spans="1:4" x14ac:dyDescent="0.25">
      <c r="A31" s="47" t="s">
        <v>18</v>
      </c>
      <c r="B31" s="47"/>
      <c r="C31" s="47"/>
      <c r="D31" s="47"/>
    </row>
  </sheetData>
  <mergeCells count="10">
    <mergeCell ref="J6:K6"/>
    <mergeCell ref="L6:M6"/>
    <mergeCell ref="N6:O7"/>
    <mergeCell ref="A31:D31"/>
    <mergeCell ref="A1:D1"/>
    <mergeCell ref="A3:D3"/>
    <mergeCell ref="A6:D6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1"/>
  <sheetViews>
    <sheetView workbookViewId="0">
      <selection sqref="A1:XFD1048576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hidden="1" customWidth="1"/>
    <col min="6" max="6" width="7.7109375" hidden="1" customWidth="1"/>
    <col min="7" max="7" width="17.140625" hidden="1" customWidth="1"/>
    <col min="8" max="13" width="9.140625" hidden="1" customWidth="1"/>
    <col min="14" max="14" width="9.7109375" hidden="1" customWidth="1"/>
    <col min="15" max="17" width="9.140625" hidden="1" customWidth="1"/>
    <col min="18" max="44" width="9.140625" customWidth="1"/>
  </cols>
  <sheetData>
    <row r="1" spans="1:15" ht="19.5" x14ac:dyDescent="0.25">
      <c r="A1" s="48" t="s">
        <v>26</v>
      </c>
      <c r="B1" s="49"/>
      <c r="C1" s="49"/>
      <c r="D1" s="49"/>
      <c r="E1" s="40"/>
      <c r="F1" s="40"/>
    </row>
    <row r="2" spans="1:15" ht="19.5" x14ac:dyDescent="0.25">
      <c r="A2" s="40"/>
      <c r="B2" s="40"/>
      <c r="C2" s="40"/>
      <c r="D2" s="40"/>
      <c r="E2" s="40"/>
      <c r="F2" s="40"/>
    </row>
    <row r="3" spans="1:15" ht="15.75" x14ac:dyDescent="0.25">
      <c r="A3" s="50" t="s">
        <v>0</v>
      </c>
      <c r="B3" s="49"/>
      <c r="C3" s="49"/>
      <c r="D3" s="49"/>
      <c r="E3" s="41"/>
      <c r="F3" s="41"/>
    </row>
    <row r="6" spans="1:15" ht="19.5" x14ac:dyDescent="0.3">
      <c r="A6" s="51"/>
      <c r="B6" s="51"/>
      <c r="C6" s="51"/>
      <c r="D6" s="51"/>
      <c r="G6" s="45" t="s">
        <v>1</v>
      </c>
      <c r="H6" s="45" t="s">
        <v>2</v>
      </c>
      <c r="I6" s="45" t="s">
        <v>3</v>
      </c>
      <c r="J6" s="45" t="s">
        <v>4</v>
      </c>
      <c r="K6" s="45"/>
      <c r="L6" s="45" t="s">
        <v>5</v>
      </c>
      <c r="M6" s="45"/>
      <c r="N6" s="46" t="s">
        <v>6</v>
      </c>
      <c r="O6" s="46"/>
    </row>
    <row r="7" spans="1:15" ht="30" x14ac:dyDescent="0.25">
      <c r="A7" s="3" t="s">
        <v>7</v>
      </c>
      <c r="B7" s="4" t="s">
        <v>8</v>
      </c>
      <c r="C7" s="4" t="s">
        <v>9</v>
      </c>
      <c r="D7" s="4" t="s">
        <v>10</v>
      </c>
      <c r="G7" s="45"/>
      <c r="H7" s="45"/>
      <c r="I7" s="45"/>
      <c r="J7" s="39" t="s">
        <v>11</v>
      </c>
      <c r="K7" s="39" t="s">
        <v>12</v>
      </c>
      <c r="L7" s="39" t="s">
        <v>13</v>
      </c>
      <c r="M7" s="39" t="s">
        <v>12</v>
      </c>
      <c r="N7" s="46"/>
      <c r="O7" s="46"/>
    </row>
    <row r="8" spans="1:15" s="10" customFormat="1" ht="30" x14ac:dyDescent="0.25">
      <c r="A8" s="6" t="s">
        <v>14</v>
      </c>
      <c r="B8" s="7">
        <v>4</v>
      </c>
      <c r="C8" s="8">
        <f>K8</f>
        <v>0.47857142857142859</v>
      </c>
      <c r="D8" s="8">
        <f>M8</f>
        <v>0.52380952380952384</v>
      </c>
      <c r="E8" s="9"/>
      <c r="G8" s="11" t="s">
        <v>14</v>
      </c>
      <c r="H8" s="7">
        <v>4</v>
      </c>
      <c r="I8" s="12">
        <f>4*8*21</f>
        <v>672</v>
      </c>
      <c r="J8" s="13">
        <f>103+87+58.09+4.51+69</f>
        <v>321.60000000000002</v>
      </c>
      <c r="K8" s="14">
        <f>+J8/I8</f>
        <v>0.47857142857142859</v>
      </c>
      <c r="L8" s="13">
        <f>64+1+72+104+1+104+6</f>
        <v>352</v>
      </c>
      <c r="M8" s="14">
        <f>+L8/I8</f>
        <v>0.52380952380952384</v>
      </c>
      <c r="N8" s="15">
        <f>M8+K8</f>
        <v>1.0023809523809524</v>
      </c>
      <c r="O8" s="12">
        <f t="shared" ref="O8" si="0">+J8+L8</f>
        <v>673.6</v>
      </c>
    </row>
    <row r="9" spans="1:15" s="10" customFormat="1" x14ac:dyDescent="0.25">
      <c r="A9" s="6" t="s">
        <v>15</v>
      </c>
      <c r="B9" s="7">
        <v>1</v>
      </c>
      <c r="C9" s="8">
        <f>K9</f>
        <v>0.38095238095238093</v>
      </c>
      <c r="D9" s="8">
        <f>M9</f>
        <v>0.61904761904761907</v>
      </c>
      <c r="E9" s="9"/>
      <c r="G9" s="6" t="s">
        <v>15</v>
      </c>
      <c r="H9" s="7">
        <v>1</v>
      </c>
      <c r="I9" s="12">
        <f>8*1*21</f>
        <v>168</v>
      </c>
      <c r="J9" s="13">
        <v>64</v>
      </c>
      <c r="K9" s="14">
        <f>J9/I9</f>
        <v>0.38095238095238093</v>
      </c>
      <c r="L9" s="13">
        <v>104</v>
      </c>
      <c r="M9" s="14">
        <f>+L9/I9</f>
        <v>0.61904761904761907</v>
      </c>
      <c r="N9" s="15">
        <f>K9+M9</f>
        <v>1</v>
      </c>
      <c r="O9" s="13">
        <f>J9+L9</f>
        <v>168</v>
      </c>
    </row>
    <row r="10" spans="1:15" s="10" customFormat="1" x14ac:dyDescent="0.25">
      <c r="A10" s="16" t="s">
        <v>16</v>
      </c>
      <c r="B10" s="12">
        <v>3</v>
      </c>
      <c r="C10" s="8">
        <f>K10</f>
        <v>0.63650793650793647</v>
      </c>
      <c r="D10" s="8">
        <f t="shared" ref="D10:D11" si="1">M10</f>
        <v>0.36626984126984125</v>
      </c>
      <c r="E10" s="9"/>
      <c r="G10" s="16" t="s">
        <v>16</v>
      </c>
      <c r="H10" s="12">
        <v>3</v>
      </c>
      <c r="I10" s="12">
        <f>8*3*21</f>
        <v>504</v>
      </c>
      <c r="J10" s="13">
        <f>100.2+85+11.51+124.09</f>
        <v>320.79999999999995</v>
      </c>
      <c r="K10" s="14">
        <f t="shared" ref="K10:K11" si="2">+J10/I10</f>
        <v>0.63650793650793647</v>
      </c>
      <c r="L10" s="13">
        <f>2.4+64+2+72+16+28.2</f>
        <v>184.6</v>
      </c>
      <c r="M10" s="14">
        <f t="shared" ref="M10:M11" si="3">+L10/I10</f>
        <v>0.36626984126984125</v>
      </c>
      <c r="N10" s="15">
        <f t="shared" ref="N10:N11" si="4">+K10+M10</f>
        <v>1.0027777777777778</v>
      </c>
      <c r="O10" s="12">
        <f t="shared" ref="O10:O11" si="5">+J10+L10</f>
        <v>505.4</v>
      </c>
    </row>
    <row r="11" spans="1:15" s="10" customFormat="1" x14ac:dyDescent="0.25">
      <c r="A11" s="16" t="s">
        <v>17</v>
      </c>
      <c r="B11" s="12">
        <v>4</v>
      </c>
      <c r="C11" s="8">
        <f t="shared" ref="C11" si="6">K11</f>
        <v>0.64254464285714286</v>
      </c>
      <c r="D11" s="8">
        <f t="shared" si="1"/>
        <v>0.35416666666666669</v>
      </c>
      <c r="E11" s="9"/>
      <c r="G11" s="16" t="s">
        <v>17</v>
      </c>
      <c r="H11" s="12">
        <v>4</v>
      </c>
      <c r="I11" s="12">
        <f>8*4*21</f>
        <v>672</v>
      </c>
      <c r="J11" s="13">
        <f>136+166.1+79.19+4.5+46</f>
        <v>431.79</v>
      </c>
      <c r="K11" s="14">
        <f t="shared" si="2"/>
        <v>0.64254464285714286</v>
      </c>
      <c r="L11" s="13">
        <f>16+104+2+32+1.5+80+2.5</f>
        <v>238</v>
      </c>
      <c r="M11" s="17">
        <f t="shared" si="3"/>
        <v>0.35416666666666669</v>
      </c>
      <c r="N11" s="15">
        <f t="shared" si="4"/>
        <v>0.9967113095238096</v>
      </c>
      <c r="O11" s="12">
        <f t="shared" si="5"/>
        <v>669.79</v>
      </c>
    </row>
    <row r="12" spans="1:15" x14ac:dyDescent="0.25">
      <c r="A12" s="18"/>
      <c r="B12" s="19"/>
      <c r="C12" s="20"/>
      <c r="D12" s="20"/>
      <c r="L12" s="21"/>
    </row>
    <row r="13" spans="1:15" x14ac:dyDescent="0.25">
      <c r="A13" s="18"/>
      <c r="B13" s="19"/>
      <c r="C13" s="20"/>
      <c r="D13" s="20"/>
      <c r="K13" s="22"/>
    </row>
    <row r="14" spans="1:15" x14ac:dyDescent="0.25">
      <c r="A14" s="18"/>
      <c r="B14" s="19"/>
      <c r="C14" s="20"/>
      <c r="D14" s="23"/>
      <c r="K14" s="21"/>
    </row>
    <row r="15" spans="1:15" x14ac:dyDescent="0.25">
      <c r="A15" s="18"/>
      <c r="B15" s="19"/>
      <c r="C15" s="20"/>
      <c r="D15" s="20"/>
      <c r="J15" s="21"/>
    </row>
    <row r="16" spans="1:15" x14ac:dyDescent="0.25">
      <c r="A16" s="18"/>
      <c r="B16" s="19"/>
      <c r="C16" s="20"/>
      <c r="D16" s="20"/>
      <c r="J16" s="21"/>
    </row>
    <row r="17" spans="1:4" x14ac:dyDescent="0.25">
      <c r="A17" s="18"/>
      <c r="B17" s="19"/>
      <c r="C17" s="20"/>
      <c r="D17" s="20"/>
    </row>
    <row r="18" spans="1:4" x14ac:dyDescent="0.25">
      <c r="A18" s="18"/>
      <c r="B18" s="19"/>
      <c r="C18" s="20"/>
      <c r="D18" s="20"/>
    </row>
    <row r="19" spans="1:4" x14ac:dyDescent="0.25">
      <c r="A19" s="18"/>
      <c r="B19" s="19"/>
      <c r="C19" s="20"/>
      <c r="D19" s="20"/>
    </row>
    <row r="20" spans="1:4" x14ac:dyDescent="0.25">
      <c r="A20" s="18"/>
      <c r="B20" s="19"/>
      <c r="C20" s="20"/>
      <c r="D20" s="20"/>
    </row>
    <row r="21" spans="1:4" x14ac:dyDescent="0.25">
      <c r="A21" s="18"/>
      <c r="B21" s="19"/>
      <c r="C21" s="20"/>
      <c r="D21" s="20"/>
    </row>
    <row r="22" spans="1:4" x14ac:dyDescent="0.25">
      <c r="A22" s="18"/>
      <c r="B22" s="19"/>
      <c r="C22" s="20"/>
      <c r="D22" s="20"/>
    </row>
    <row r="23" spans="1:4" x14ac:dyDescent="0.25">
      <c r="A23" s="18"/>
      <c r="B23" s="19"/>
      <c r="C23" s="20"/>
      <c r="D23" s="20"/>
    </row>
    <row r="24" spans="1:4" x14ac:dyDescent="0.25">
      <c r="A24" s="18"/>
      <c r="B24" s="19"/>
      <c r="C24" s="20"/>
      <c r="D24" s="20"/>
    </row>
    <row r="25" spans="1:4" x14ac:dyDescent="0.25">
      <c r="A25" s="18"/>
      <c r="B25" s="19"/>
      <c r="C25" s="20"/>
      <c r="D25" s="20"/>
    </row>
    <row r="26" spans="1:4" x14ac:dyDescent="0.25">
      <c r="A26" s="18"/>
      <c r="B26" s="19"/>
      <c r="C26" s="20"/>
      <c r="D26" s="20"/>
    </row>
    <row r="31" spans="1:4" x14ac:dyDescent="0.25">
      <c r="A31" s="47" t="s">
        <v>18</v>
      </c>
      <c r="B31" s="47"/>
      <c r="C31" s="47"/>
      <c r="D31" s="47"/>
    </row>
  </sheetData>
  <mergeCells count="10">
    <mergeCell ref="J6:K6"/>
    <mergeCell ref="L6:M6"/>
    <mergeCell ref="N6:O7"/>
    <mergeCell ref="A31:D31"/>
    <mergeCell ref="A1:D1"/>
    <mergeCell ref="A3:D3"/>
    <mergeCell ref="A6:D6"/>
    <mergeCell ref="G6:G7"/>
    <mergeCell ref="H6:H7"/>
    <mergeCell ref="I6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1"/>
  <sheetViews>
    <sheetView tabSelected="1" workbookViewId="0">
      <selection activeCell="S29" sqref="S29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customWidth="1"/>
    <col min="6" max="6" width="7.7109375" customWidth="1"/>
    <col min="7" max="7" width="17.140625" hidden="1" customWidth="1"/>
    <col min="8" max="13" width="9.140625" hidden="1" customWidth="1"/>
    <col min="14" max="14" width="9.7109375" hidden="1" customWidth="1"/>
    <col min="15" max="16" width="9.140625" hidden="1" customWidth="1"/>
    <col min="17" max="44" width="9.140625" customWidth="1"/>
  </cols>
  <sheetData>
    <row r="1" spans="1:15" ht="19.5" x14ac:dyDescent="0.25">
      <c r="A1" s="48" t="s">
        <v>27</v>
      </c>
      <c r="B1" s="49"/>
      <c r="C1" s="49"/>
      <c r="D1" s="49"/>
      <c r="E1" s="43"/>
      <c r="F1" s="43"/>
    </row>
    <row r="2" spans="1:15" ht="19.5" x14ac:dyDescent="0.25">
      <c r="A2" s="43"/>
      <c r="B2" s="43"/>
      <c r="C2" s="43"/>
      <c r="D2" s="43"/>
      <c r="E2" s="43"/>
      <c r="F2" s="43"/>
    </row>
    <row r="3" spans="1:15" ht="15.75" x14ac:dyDescent="0.25">
      <c r="A3" s="50" t="s">
        <v>0</v>
      </c>
      <c r="B3" s="49"/>
      <c r="C3" s="49"/>
      <c r="D3" s="49"/>
      <c r="E3" s="44"/>
      <c r="F3" s="44"/>
    </row>
    <row r="6" spans="1:15" ht="19.5" x14ac:dyDescent="0.3">
      <c r="A6" s="51"/>
      <c r="B6" s="51"/>
      <c r="C6" s="51"/>
      <c r="D6" s="51"/>
      <c r="G6" s="45" t="s">
        <v>1</v>
      </c>
      <c r="H6" s="45" t="s">
        <v>2</v>
      </c>
      <c r="I6" s="45" t="s">
        <v>3</v>
      </c>
      <c r="J6" s="45" t="s">
        <v>4</v>
      </c>
      <c r="K6" s="45"/>
      <c r="L6" s="45" t="s">
        <v>5</v>
      </c>
      <c r="M6" s="45"/>
      <c r="N6" s="46" t="s">
        <v>6</v>
      </c>
      <c r="O6" s="46"/>
    </row>
    <row r="7" spans="1:15" ht="30" x14ac:dyDescent="0.25">
      <c r="A7" s="3" t="s">
        <v>7</v>
      </c>
      <c r="B7" s="4" t="s">
        <v>8</v>
      </c>
      <c r="C7" s="4" t="s">
        <v>9</v>
      </c>
      <c r="D7" s="4" t="s">
        <v>10</v>
      </c>
      <c r="G7" s="45"/>
      <c r="H7" s="45"/>
      <c r="I7" s="45"/>
      <c r="J7" s="42" t="s">
        <v>11</v>
      </c>
      <c r="K7" s="42" t="s">
        <v>12</v>
      </c>
      <c r="L7" s="42" t="s">
        <v>13</v>
      </c>
      <c r="M7" s="42" t="s">
        <v>12</v>
      </c>
      <c r="N7" s="46"/>
      <c r="O7" s="46"/>
    </row>
    <row r="8" spans="1:15" s="10" customFormat="1" ht="30" x14ac:dyDescent="0.25">
      <c r="A8" s="6" t="s">
        <v>14</v>
      </c>
      <c r="B8" s="7">
        <v>4</v>
      </c>
      <c r="C8" s="8">
        <f>K8</f>
        <v>0.93187499999999979</v>
      </c>
      <c r="D8" s="8">
        <f>M8</f>
        <v>6.4999999999999988E-2</v>
      </c>
      <c r="E8" s="9"/>
      <c r="G8" s="11" t="s">
        <v>14</v>
      </c>
      <c r="H8" s="7">
        <v>4</v>
      </c>
      <c r="I8" s="12">
        <f>4*8*20</f>
        <v>640</v>
      </c>
      <c r="J8" s="13">
        <f>150+148.04+2.26+147.4+2.4+146.3</f>
        <v>596.39999999999986</v>
      </c>
      <c r="K8" s="14">
        <f>+J8/I8</f>
        <v>0.93187499999999979</v>
      </c>
      <c r="L8" s="13">
        <f>9.3+9.4+2.4+7.2+8+5.3</f>
        <v>41.599999999999994</v>
      </c>
      <c r="M8" s="14">
        <f>+L8/I8</f>
        <v>6.4999999999999988E-2</v>
      </c>
      <c r="N8" s="15">
        <f>M8+K8</f>
        <v>0.99687499999999973</v>
      </c>
      <c r="O8" s="12">
        <f t="shared" ref="O8" si="0">+J8+L8</f>
        <v>637.99999999999989</v>
      </c>
    </row>
    <row r="9" spans="1:15" s="10" customFormat="1" x14ac:dyDescent="0.25">
      <c r="A9" s="6" t="s">
        <v>15</v>
      </c>
      <c r="B9" s="7">
        <v>1</v>
      </c>
      <c r="C9" s="8">
        <f>K9</f>
        <v>0.93312500000000009</v>
      </c>
      <c r="D9" s="8">
        <v>7.0000000000000007E-2</v>
      </c>
      <c r="E9" s="9"/>
      <c r="G9" s="6" t="s">
        <v>15</v>
      </c>
      <c r="H9" s="7">
        <v>1</v>
      </c>
      <c r="I9" s="12">
        <f>8*1*20</f>
        <v>160</v>
      </c>
      <c r="J9" s="13">
        <v>149.30000000000001</v>
      </c>
      <c r="K9" s="14">
        <f>J9/I9</f>
        <v>0.93312500000000009</v>
      </c>
      <c r="L9" s="13">
        <f>8+2.3</f>
        <v>10.3</v>
      </c>
      <c r="M9" s="14">
        <f>+L9/I9</f>
        <v>6.4375000000000002E-2</v>
      </c>
      <c r="N9" s="15">
        <f>K9+M9</f>
        <v>0.99750000000000005</v>
      </c>
      <c r="O9" s="13">
        <f>J9+L9</f>
        <v>159.60000000000002</v>
      </c>
    </row>
    <row r="10" spans="1:15" s="10" customFormat="1" x14ac:dyDescent="0.25">
      <c r="A10" s="16" t="s">
        <v>16</v>
      </c>
      <c r="B10" s="12">
        <v>3</v>
      </c>
      <c r="C10" s="8">
        <f>K10</f>
        <v>0.77041666666666664</v>
      </c>
      <c r="D10" s="8">
        <f t="shared" ref="D10:D11" si="1">M10</f>
        <v>0.22708333333333333</v>
      </c>
      <c r="E10" s="9"/>
      <c r="G10" s="16" t="s">
        <v>16</v>
      </c>
      <c r="H10" s="12">
        <v>3</v>
      </c>
      <c r="I10" s="12">
        <f>8*3*20</f>
        <v>480</v>
      </c>
      <c r="J10" s="13">
        <f>66.53+12.27+146+145</f>
        <v>369.8</v>
      </c>
      <c r="K10" s="14">
        <f t="shared" ref="K10:K11" si="2">+J10/I10</f>
        <v>0.77041666666666664</v>
      </c>
      <c r="L10" s="13">
        <f>5.3+8.3+8+7+32+48+0.4</f>
        <v>109</v>
      </c>
      <c r="M10" s="14">
        <f t="shared" ref="M10:M11" si="3">+L10/I10</f>
        <v>0.22708333333333333</v>
      </c>
      <c r="N10" s="15">
        <f t="shared" ref="N10:N11" si="4">+K10+M10</f>
        <v>0.99749999999999994</v>
      </c>
      <c r="O10" s="12">
        <f t="shared" ref="O10:O11" si="5">+J10+L10</f>
        <v>478.8</v>
      </c>
    </row>
    <row r="11" spans="1:15" s="10" customFormat="1" x14ac:dyDescent="0.25">
      <c r="A11" s="16" t="s">
        <v>17</v>
      </c>
      <c r="B11" s="12">
        <v>4</v>
      </c>
      <c r="C11" s="8">
        <f t="shared" ref="C11" si="6">K11</f>
        <v>0.72609375000000009</v>
      </c>
      <c r="D11" s="8">
        <f t="shared" si="1"/>
        <v>0.27203125</v>
      </c>
      <c r="E11" s="9"/>
      <c r="G11" s="16" t="s">
        <v>17</v>
      </c>
      <c r="H11" s="12">
        <v>4</v>
      </c>
      <c r="I11" s="12">
        <f>8*4*20</f>
        <v>640</v>
      </c>
      <c r="J11" s="13">
        <f>114.4+109.2+104+137.1</f>
        <v>464.70000000000005</v>
      </c>
      <c r="K11" s="14">
        <f t="shared" si="2"/>
        <v>0.72609375000000009</v>
      </c>
      <c r="L11" s="13">
        <f>40+5.2+2.4+48+56+16+6.5</f>
        <v>174.1</v>
      </c>
      <c r="M11" s="17">
        <f t="shared" si="3"/>
        <v>0.27203125</v>
      </c>
      <c r="N11" s="15">
        <f t="shared" si="4"/>
        <v>0.99812500000000015</v>
      </c>
      <c r="O11" s="12">
        <f t="shared" si="5"/>
        <v>638.80000000000007</v>
      </c>
    </row>
    <row r="12" spans="1:15" x14ac:dyDescent="0.25">
      <c r="A12" s="18"/>
      <c r="B12" s="19"/>
      <c r="C12" s="20"/>
      <c r="D12" s="20"/>
      <c r="L12" s="21"/>
    </row>
    <row r="13" spans="1:15" x14ac:dyDescent="0.25">
      <c r="A13" s="18"/>
      <c r="B13" s="19"/>
      <c r="C13" s="20"/>
      <c r="D13" s="20"/>
      <c r="K13" s="22"/>
    </row>
    <row r="14" spans="1:15" x14ac:dyDescent="0.25">
      <c r="A14" s="18"/>
      <c r="B14" s="19"/>
      <c r="C14" s="20"/>
      <c r="D14" s="23"/>
      <c r="K14" s="21"/>
    </row>
    <row r="15" spans="1:15" x14ac:dyDescent="0.25">
      <c r="A15" s="18"/>
      <c r="B15" s="19"/>
      <c r="C15" s="20"/>
      <c r="D15" s="20"/>
      <c r="J15" s="21"/>
    </row>
    <row r="16" spans="1:15" x14ac:dyDescent="0.25">
      <c r="A16" s="18"/>
      <c r="B16" s="19"/>
      <c r="C16" s="20"/>
      <c r="D16" s="20"/>
      <c r="J16" s="21"/>
    </row>
    <row r="17" spans="1:4" x14ac:dyDescent="0.25">
      <c r="A17" s="18"/>
      <c r="B17" s="19"/>
      <c r="C17" s="20"/>
      <c r="D17" s="20"/>
    </row>
    <row r="18" spans="1:4" x14ac:dyDescent="0.25">
      <c r="A18" s="18"/>
      <c r="B18" s="19"/>
      <c r="C18" s="20"/>
      <c r="D18" s="20"/>
    </row>
    <row r="19" spans="1:4" x14ac:dyDescent="0.25">
      <c r="A19" s="18"/>
      <c r="B19" s="19"/>
      <c r="C19" s="20"/>
      <c r="D19" s="20"/>
    </row>
    <row r="20" spans="1:4" x14ac:dyDescent="0.25">
      <c r="A20" s="18"/>
      <c r="B20" s="19"/>
      <c r="C20" s="20"/>
      <c r="D20" s="20"/>
    </row>
    <row r="21" spans="1:4" x14ac:dyDescent="0.25">
      <c r="A21" s="18"/>
      <c r="B21" s="19"/>
      <c r="C21" s="20"/>
      <c r="D21" s="20"/>
    </row>
    <row r="22" spans="1:4" x14ac:dyDescent="0.25">
      <c r="A22" s="18"/>
      <c r="B22" s="19"/>
      <c r="C22" s="20"/>
      <c r="D22" s="20"/>
    </row>
    <row r="23" spans="1:4" x14ac:dyDescent="0.25">
      <c r="A23" s="18"/>
      <c r="B23" s="19"/>
      <c r="C23" s="20"/>
      <c r="D23" s="20"/>
    </row>
    <row r="24" spans="1:4" x14ac:dyDescent="0.25">
      <c r="A24" s="18"/>
      <c r="B24" s="19"/>
      <c r="C24" s="20"/>
      <c r="D24" s="20"/>
    </row>
    <row r="25" spans="1:4" x14ac:dyDescent="0.25">
      <c r="A25" s="18"/>
      <c r="B25" s="19"/>
      <c r="C25" s="20"/>
      <c r="D25" s="20"/>
    </row>
    <row r="26" spans="1:4" x14ac:dyDescent="0.25">
      <c r="A26" s="18"/>
      <c r="B26" s="19"/>
      <c r="C26" s="20"/>
      <c r="D26" s="20"/>
    </row>
    <row r="31" spans="1:4" ht="80.25" customHeight="1" x14ac:dyDescent="0.25">
      <c r="A31" s="47" t="s">
        <v>18</v>
      </c>
      <c r="B31" s="47"/>
      <c r="C31" s="47"/>
      <c r="D31" s="47"/>
    </row>
  </sheetData>
  <mergeCells count="10">
    <mergeCell ref="J6:K6"/>
    <mergeCell ref="L6:M6"/>
    <mergeCell ref="N6:O7"/>
    <mergeCell ref="A31:D31"/>
    <mergeCell ref="A1:D1"/>
    <mergeCell ref="A3:D3"/>
    <mergeCell ref="A6:D6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GEN 18</vt:lpstr>
      <vt:lpstr>FEB 18</vt:lpstr>
      <vt:lpstr>marzo 18</vt:lpstr>
      <vt:lpstr>aprile</vt:lpstr>
      <vt:lpstr>maggio</vt:lpstr>
      <vt:lpstr>giugno</vt:lpstr>
      <vt:lpstr>luglio</vt:lpstr>
      <vt:lpstr>agosto</vt:lpstr>
      <vt:lpstr>SETTEMBRE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2021-06-21T11:45:49Z</dcterms:modified>
</cp:coreProperties>
</file>