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a\Desktop\gara Italmercati\"/>
    </mc:Choice>
  </mc:AlternateContent>
  <xr:revisionPtr revIDLastSave="0" documentId="8_{3E8ECA95-A2CD-46D1-93FF-AAB163C8D219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Anagrafica sedi" sheetId="1" r:id="rId1"/>
    <sheet name="elem. compilazione capitolato" sheetId="2" state="hidden" r:id="rId2"/>
    <sheet name="Dettagli sede 18106" sheetId="3" r:id="rId3"/>
    <sheet name="Analisi 18106" sheetId="4" state="hidden" r:id="rId4"/>
    <sheet name="Dettagli sede POP" sheetId="5" state="hidden" r:id="rId5"/>
    <sheet name="Analisi POP" sheetId="6" state="hidden" r:id="rId6"/>
    <sheet name="Scheda Fornitori" sheetId="7" r:id="rId7"/>
    <sheet name="Sedi" sheetId="8" r:id="rId8"/>
  </sheets>
  <definedNames>
    <definedName name="_xlnm.Print_Area" localSheetId="3">'Analisi 18106'!$A$1:$N$25</definedName>
    <definedName name="_xlnm.Print_Area" localSheetId="2">'Dettagli sede 18106'!$A$1:$O$34</definedName>
    <definedName name="_xlnm.Print_Area" localSheetId="4">'Dettagli sede POP'!$A$1:$J$44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95" i="8" l="1"/>
  <c r="R95" i="8"/>
  <c r="Q95" i="8"/>
  <c r="S94" i="8"/>
  <c r="R94" i="8"/>
  <c r="Q94" i="8"/>
  <c r="S93" i="8"/>
  <c r="R93" i="8"/>
  <c r="Q93" i="8"/>
  <c r="S92" i="8"/>
  <c r="R92" i="8"/>
  <c r="Q92" i="8"/>
  <c r="S91" i="8"/>
  <c r="R91" i="8"/>
  <c r="Q91" i="8"/>
  <c r="S90" i="8"/>
  <c r="R90" i="8"/>
  <c r="Q90" i="8"/>
  <c r="S89" i="8"/>
  <c r="R89" i="8"/>
  <c r="Q89" i="8"/>
  <c r="S88" i="8"/>
  <c r="R88" i="8"/>
  <c r="Q88" i="8"/>
  <c r="S87" i="8"/>
  <c r="R87" i="8"/>
  <c r="Q87" i="8"/>
  <c r="S86" i="8"/>
  <c r="R86" i="8"/>
  <c r="Q86" i="8"/>
  <c r="S85" i="8"/>
  <c r="R85" i="8"/>
  <c r="Q85" i="8"/>
  <c r="S84" i="8"/>
  <c r="R84" i="8"/>
  <c r="Q84" i="8"/>
  <c r="E1" i="3" l="1"/>
  <c r="K23" i="3"/>
  <c r="J23" i="3"/>
  <c r="K22" i="3"/>
  <c r="J22" i="3"/>
  <c r="AH95" i="8" l="1"/>
  <c r="AG95" i="8"/>
  <c r="AF95" i="8"/>
  <c r="AH94" i="8"/>
  <c r="AG94" i="8"/>
  <c r="AF94" i="8"/>
  <c r="AH93" i="8"/>
  <c r="AG93" i="8"/>
  <c r="AF93" i="8"/>
  <c r="AH92" i="8"/>
  <c r="AG92" i="8"/>
  <c r="AF92" i="8"/>
  <c r="AH91" i="8"/>
  <c r="AG91" i="8"/>
  <c r="AF91" i="8"/>
  <c r="AH90" i="8"/>
  <c r="AG90" i="8"/>
  <c r="AF90" i="8"/>
  <c r="AH89" i="8"/>
  <c r="AG89" i="8"/>
  <c r="AF89" i="8"/>
  <c r="AH88" i="8"/>
  <c r="AG88" i="8"/>
  <c r="AF88" i="8"/>
  <c r="AH87" i="8"/>
  <c r="AG87" i="8"/>
  <c r="AF87" i="8"/>
  <c r="AH86" i="8"/>
  <c r="AG86" i="8"/>
  <c r="AF86" i="8"/>
  <c r="AH85" i="8"/>
  <c r="AG85" i="8"/>
  <c r="AF85" i="8"/>
  <c r="AH84" i="8"/>
  <c r="AG84" i="8"/>
  <c r="AF84" i="8"/>
  <c r="AC95" i="8"/>
  <c r="AB95" i="8"/>
  <c r="AA95" i="8"/>
  <c r="AC94" i="8"/>
  <c r="AB94" i="8"/>
  <c r="AA94" i="8"/>
  <c r="AC93" i="8"/>
  <c r="AB93" i="8"/>
  <c r="AA93" i="8"/>
  <c r="AC92" i="8"/>
  <c r="AB92" i="8"/>
  <c r="AA92" i="8"/>
  <c r="AC91" i="8"/>
  <c r="AB91" i="8"/>
  <c r="AA91" i="8"/>
  <c r="AC90" i="8"/>
  <c r="AB90" i="8"/>
  <c r="AA90" i="8"/>
  <c r="AC89" i="8"/>
  <c r="AB89" i="8"/>
  <c r="AA89" i="8"/>
  <c r="AC88" i="8"/>
  <c r="AB88" i="8"/>
  <c r="AA88" i="8"/>
  <c r="AC87" i="8"/>
  <c r="AB87" i="8"/>
  <c r="AA87" i="8"/>
  <c r="AC86" i="8"/>
  <c r="AB86" i="8"/>
  <c r="AA86" i="8"/>
  <c r="AC85" i="8"/>
  <c r="AB85" i="8"/>
  <c r="AA85" i="8"/>
  <c r="AC84" i="8"/>
  <c r="AB84" i="8"/>
  <c r="AA84" i="8"/>
  <c r="N95" i="8"/>
  <c r="M95" i="8"/>
  <c r="L95" i="8"/>
  <c r="N94" i="8"/>
  <c r="M94" i="8"/>
  <c r="L94" i="8"/>
  <c r="N93" i="8"/>
  <c r="M93" i="8"/>
  <c r="L93" i="8"/>
  <c r="N92" i="8"/>
  <c r="M92" i="8"/>
  <c r="L92" i="8"/>
  <c r="N91" i="8"/>
  <c r="M91" i="8"/>
  <c r="L91" i="8"/>
  <c r="N90" i="8"/>
  <c r="M90" i="8"/>
  <c r="L90" i="8"/>
  <c r="N89" i="8"/>
  <c r="M89" i="8"/>
  <c r="L89" i="8"/>
  <c r="N88" i="8"/>
  <c r="M88" i="8"/>
  <c r="L88" i="8"/>
  <c r="N87" i="8"/>
  <c r="M87" i="8"/>
  <c r="L87" i="8"/>
  <c r="N86" i="8"/>
  <c r="M86" i="8"/>
  <c r="L86" i="8"/>
  <c r="N85" i="8"/>
  <c r="M85" i="8"/>
  <c r="L85" i="8"/>
  <c r="N84" i="8"/>
  <c r="M84" i="8"/>
  <c r="L84" i="8"/>
  <c r="I95" i="8"/>
  <c r="H95" i="8"/>
  <c r="G95" i="8"/>
  <c r="I94" i="8"/>
  <c r="H94" i="8"/>
  <c r="G94" i="8"/>
  <c r="I93" i="8"/>
  <c r="H93" i="8"/>
  <c r="G93" i="8"/>
  <c r="I92" i="8"/>
  <c r="H92" i="8"/>
  <c r="G92" i="8"/>
  <c r="I91" i="8"/>
  <c r="H91" i="8"/>
  <c r="G91" i="8"/>
  <c r="I90" i="8"/>
  <c r="H90" i="8"/>
  <c r="G90" i="8"/>
  <c r="I89" i="8"/>
  <c r="H89" i="8"/>
  <c r="G89" i="8"/>
  <c r="I88" i="8"/>
  <c r="H88" i="8"/>
  <c r="G88" i="8"/>
  <c r="I87" i="8"/>
  <c r="H87" i="8"/>
  <c r="G87" i="8"/>
  <c r="I86" i="8"/>
  <c r="H86" i="8"/>
  <c r="G86" i="8"/>
  <c r="I85" i="8"/>
  <c r="H85" i="8"/>
  <c r="G85" i="8"/>
  <c r="I84" i="8"/>
  <c r="H84" i="8"/>
  <c r="D95" i="8"/>
  <c r="D14" i="3" s="1"/>
  <c r="C95" i="8"/>
  <c r="C14" i="3" s="1"/>
  <c r="B95" i="8"/>
  <c r="D94" i="8"/>
  <c r="C94" i="8"/>
  <c r="C13" i="3" s="1"/>
  <c r="B94" i="8"/>
  <c r="B13" i="3" s="1"/>
  <c r="D93" i="8"/>
  <c r="C93" i="8"/>
  <c r="B93" i="8"/>
  <c r="B12" i="3" s="1"/>
  <c r="D92" i="8"/>
  <c r="D11" i="3" s="1"/>
  <c r="C92" i="8"/>
  <c r="B92" i="8"/>
  <c r="D91" i="8"/>
  <c r="D10" i="3" s="1"/>
  <c r="C91" i="8"/>
  <c r="C10" i="3" s="1"/>
  <c r="B91" i="8"/>
  <c r="D90" i="8"/>
  <c r="C90" i="8"/>
  <c r="C9" i="3" s="1"/>
  <c r="B90" i="8"/>
  <c r="B9" i="3" s="1"/>
  <c r="D89" i="8"/>
  <c r="C89" i="8"/>
  <c r="B89" i="8"/>
  <c r="B8" i="3" s="1"/>
  <c r="D88" i="8"/>
  <c r="D7" i="3" s="1"/>
  <c r="C88" i="8"/>
  <c r="B88" i="8"/>
  <c r="D87" i="8"/>
  <c r="D6" i="3" s="1"/>
  <c r="C87" i="8"/>
  <c r="C6" i="3" s="1"/>
  <c r="B87" i="8"/>
  <c r="D86" i="8"/>
  <c r="C86" i="8"/>
  <c r="C5" i="3" s="1"/>
  <c r="B86" i="8"/>
  <c r="B5" i="3" s="1"/>
  <c r="D85" i="8"/>
  <c r="C85" i="8"/>
  <c r="B85" i="8"/>
  <c r="B4" i="3" s="1"/>
  <c r="D84" i="8"/>
  <c r="D3" i="3" s="1"/>
  <c r="C84" i="8"/>
  <c r="G84" i="8"/>
  <c r="B84" i="8"/>
  <c r="B3" i="3" s="1"/>
  <c r="C3" i="3" l="1"/>
  <c r="D4" i="3"/>
  <c r="B6" i="3"/>
  <c r="C7" i="3"/>
  <c r="D8" i="3"/>
  <c r="B10" i="3"/>
  <c r="C11" i="3"/>
  <c r="D12" i="3"/>
  <c r="B14" i="3"/>
  <c r="C4" i="3"/>
  <c r="D5" i="3"/>
  <c r="B7" i="3"/>
  <c r="C8" i="3"/>
  <c r="D9" i="3"/>
  <c r="B11" i="3"/>
  <c r="C12" i="3"/>
  <c r="D13" i="3"/>
  <c r="CX31" i="8"/>
  <c r="CY31" i="8"/>
  <c r="CZ31" i="8"/>
  <c r="F3" i="8" l="1"/>
  <c r="K3" i="8" s="1"/>
  <c r="P3" i="8" s="1"/>
  <c r="U3" i="8" s="1"/>
  <c r="Z3" i="8" s="1"/>
  <c r="AE3" i="8" s="1"/>
  <c r="AJ3" i="8" s="1"/>
  <c r="AO3" i="8" s="1"/>
  <c r="AT3" i="8" s="1"/>
  <c r="AY3" i="8" s="1"/>
  <c r="BD3" i="8" s="1"/>
  <c r="BN3" i="8" s="1"/>
  <c r="BS3" i="8" s="1"/>
  <c r="BX3" i="8" s="1"/>
  <c r="CC3" i="8" s="1"/>
  <c r="CH3" i="8" s="1"/>
  <c r="CM3" i="8" s="1"/>
  <c r="CR3" i="8" s="1"/>
  <c r="CW3" i="8" s="1"/>
  <c r="DB3" i="8" s="1"/>
  <c r="DG3" i="8" s="1"/>
  <c r="DL3" i="8" s="1"/>
  <c r="DQ3" i="8" s="1"/>
  <c r="DV3" i="8" s="1"/>
  <c r="EA3" i="8" s="1"/>
  <c r="EF3" i="8" s="1"/>
  <c r="EK3" i="8" s="1"/>
  <c r="EP3" i="8" s="1"/>
  <c r="EU3" i="8" s="1"/>
  <c r="EZ3" i="8" s="1"/>
  <c r="FE3" i="8" s="1"/>
  <c r="FJ3" i="8" s="1"/>
  <c r="GB16" i="8"/>
  <c r="GA16" i="8"/>
  <c r="FZ16" i="8"/>
  <c r="FW16" i="8"/>
  <c r="FV16" i="8"/>
  <c r="FU16" i="8"/>
  <c r="FR16" i="8"/>
  <c r="FQ16" i="8"/>
  <c r="FP16" i="8"/>
  <c r="FM16" i="8"/>
  <c r="FL16" i="8"/>
  <c r="FK16" i="8"/>
  <c r="FH16" i="8"/>
  <c r="FG16" i="8"/>
  <c r="FF16" i="8"/>
  <c r="FC16" i="8"/>
  <c r="FB16" i="8"/>
  <c r="FA16" i="8"/>
  <c r="EX16" i="8"/>
  <c r="EW16" i="8"/>
  <c r="EV16" i="8"/>
  <c r="ES16" i="8"/>
  <c r="ER16" i="8"/>
  <c r="EQ16" i="8"/>
  <c r="EN16" i="8"/>
  <c r="EM16" i="8"/>
  <c r="EL16" i="8"/>
  <c r="EI16" i="8"/>
  <c r="EH16" i="8"/>
  <c r="EG16" i="8"/>
  <c r="ED16" i="8"/>
  <c r="EC16" i="8"/>
  <c r="EB16" i="8"/>
  <c r="DY16" i="8"/>
  <c r="DX16" i="8"/>
  <c r="DW16" i="8"/>
  <c r="DT16" i="8"/>
  <c r="DS16" i="8"/>
  <c r="DR16" i="8"/>
  <c r="DO16" i="8"/>
  <c r="DN16" i="8"/>
  <c r="DM16" i="8"/>
  <c r="DJ16" i="8"/>
  <c r="DI16" i="8"/>
  <c r="DH16" i="8"/>
  <c r="DE16" i="8"/>
  <c r="DD16" i="8"/>
  <c r="DC16" i="8"/>
  <c r="CZ16" i="8"/>
  <c r="CY16" i="8"/>
  <c r="CX16" i="8"/>
  <c r="CU16" i="8"/>
  <c r="CT16" i="8"/>
  <c r="CS16" i="8"/>
  <c r="CP16" i="8"/>
  <c r="CO16" i="8"/>
  <c r="CN16" i="8"/>
  <c r="CK16" i="8"/>
  <c r="CJ16" i="8"/>
  <c r="CI16" i="8"/>
  <c r="CF16" i="8"/>
  <c r="CE16" i="8"/>
  <c r="CD16" i="8"/>
  <c r="CA16" i="8"/>
  <c r="BZ16" i="8"/>
  <c r="BY16" i="8"/>
  <c r="BV16" i="8"/>
  <c r="BU16" i="8"/>
  <c r="BT16" i="8"/>
  <c r="BQ16" i="8"/>
  <c r="BP16" i="8"/>
  <c r="BO16" i="8"/>
  <c r="BL16" i="8"/>
  <c r="BK16" i="8"/>
  <c r="BJ16" i="8"/>
  <c r="BG16" i="8"/>
  <c r="BF16" i="8"/>
  <c r="BE16" i="8"/>
  <c r="BB16" i="8"/>
  <c r="BA16" i="8"/>
  <c r="AZ16" i="8"/>
  <c r="AW16" i="8"/>
  <c r="AV16" i="8"/>
  <c r="AU16" i="8"/>
  <c r="AR16" i="8"/>
  <c r="AQ16" i="8"/>
  <c r="AP16" i="8"/>
  <c r="AM16" i="8"/>
  <c r="AL16" i="8"/>
  <c r="AK16" i="8"/>
  <c r="AH16" i="8"/>
  <c r="AG16" i="8"/>
  <c r="AF16" i="8"/>
  <c r="AC16" i="8"/>
  <c r="AB16" i="8"/>
  <c r="AA16" i="8"/>
  <c r="X16" i="8"/>
  <c r="W16" i="8"/>
  <c r="V16" i="8"/>
  <c r="S16" i="8"/>
  <c r="R16" i="8"/>
  <c r="Q16" i="8"/>
  <c r="N16" i="8"/>
  <c r="M16" i="8"/>
  <c r="L16" i="8"/>
  <c r="I16" i="8"/>
  <c r="H16" i="8"/>
  <c r="G16" i="8"/>
  <c r="D16" i="8"/>
  <c r="C16" i="8"/>
  <c r="B16" i="8"/>
  <c r="C4" i="7" l="1"/>
  <c r="B4" i="7"/>
  <c r="C3" i="7"/>
  <c r="B3" i="7"/>
  <c r="C57" i="3" l="1"/>
  <c r="F25" i="4" s="1"/>
  <c r="M25" i="4" s="1"/>
  <c r="GB31" i="8"/>
  <c r="GA31" i="8"/>
  <c r="FZ31" i="8"/>
  <c r="FW31" i="8"/>
  <c r="FV31" i="8"/>
  <c r="FU31" i="8"/>
  <c r="FR31" i="8"/>
  <c r="FQ31" i="8"/>
  <c r="FP31" i="8"/>
  <c r="AG96" i="8" l="1"/>
  <c r="AH96" i="8"/>
  <c r="C58" i="3"/>
  <c r="C59" i="3" s="1"/>
  <c r="AF96" i="8"/>
  <c r="E2" i="4"/>
  <c r="L1" i="4" s="1"/>
  <c r="D1" i="3"/>
  <c r="E25" i="4" l="1"/>
  <c r="L25" i="4" s="1"/>
  <c r="D25" i="4"/>
  <c r="K45" i="3"/>
  <c r="J45" i="3"/>
  <c r="K25" i="4" l="1"/>
  <c r="J25" i="4"/>
  <c r="N26" i="3"/>
  <c r="N8" i="3"/>
  <c r="G1" i="3"/>
  <c r="AC96" i="8" l="1"/>
  <c r="AB96" i="8"/>
  <c r="AA96" i="8"/>
  <c r="FM31" i="8" l="1"/>
  <c r="FL31" i="8"/>
  <c r="FK31" i="8"/>
  <c r="FH31" i="8"/>
  <c r="FG31" i="8"/>
  <c r="FF31" i="8"/>
  <c r="FC31" i="8"/>
  <c r="FB31" i="8"/>
  <c r="FA31" i="8"/>
  <c r="EX31" i="8"/>
  <c r="EW31" i="8"/>
  <c r="EV31" i="8"/>
  <c r="ES31" i="8"/>
  <c r="ER31" i="8"/>
  <c r="EQ31" i="8"/>
  <c r="EN31" i="8"/>
  <c r="EM31" i="8"/>
  <c r="EL31" i="8"/>
  <c r="EI31" i="8"/>
  <c r="EH31" i="8"/>
  <c r="EG31" i="8"/>
  <c r="ED31" i="8"/>
  <c r="EC31" i="8"/>
  <c r="EB31" i="8"/>
  <c r="DY31" i="8"/>
  <c r="DX31" i="8"/>
  <c r="DW31" i="8"/>
  <c r="DT31" i="8"/>
  <c r="DS31" i="8"/>
  <c r="DR31" i="8"/>
  <c r="DO31" i="8"/>
  <c r="DN31" i="8"/>
  <c r="DM31" i="8"/>
  <c r="DJ31" i="8"/>
  <c r="DI31" i="8"/>
  <c r="DH31" i="8"/>
  <c r="FM61" i="8"/>
  <c r="FL61" i="8"/>
  <c r="FK61" i="8"/>
  <c r="FH61" i="8"/>
  <c r="FG61" i="8"/>
  <c r="FF61" i="8"/>
  <c r="FC61" i="8"/>
  <c r="FB61" i="8"/>
  <c r="FA61" i="8"/>
  <c r="EX61" i="8"/>
  <c r="EW61" i="8"/>
  <c r="EV61" i="8"/>
  <c r="ES61" i="8"/>
  <c r="ER61" i="8"/>
  <c r="EQ61" i="8"/>
  <c r="EN61" i="8"/>
  <c r="EM61" i="8"/>
  <c r="EL61" i="8"/>
  <c r="EI61" i="8"/>
  <c r="EH61" i="8"/>
  <c r="EG61" i="8"/>
  <c r="ED61" i="8"/>
  <c r="EC61" i="8"/>
  <c r="EB61" i="8"/>
  <c r="DY61" i="8"/>
  <c r="DX61" i="8"/>
  <c r="DW61" i="8"/>
  <c r="DT61" i="8"/>
  <c r="DS61" i="8"/>
  <c r="DR61" i="8"/>
  <c r="DO61" i="8"/>
  <c r="DN61" i="8"/>
  <c r="DM61" i="8"/>
  <c r="DJ61" i="8"/>
  <c r="DI61" i="8"/>
  <c r="DH61" i="8"/>
  <c r="FM46" i="8"/>
  <c r="FL46" i="8"/>
  <c r="FK46" i="8"/>
  <c r="FH46" i="8"/>
  <c r="FG46" i="8"/>
  <c r="FF46" i="8"/>
  <c r="FC46" i="8"/>
  <c r="FB46" i="8"/>
  <c r="FA46" i="8"/>
  <c r="EX46" i="8"/>
  <c r="EW46" i="8"/>
  <c r="EV46" i="8"/>
  <c r="ES46" i="8"/>
  <c r="ER46" i="8"/>
  <c r="EQ46" i="8"/>
  <c r="EN46" i="8"/>
  <c r="EM46" i="8"/>
  <c r="EL46" i="8"/>
  <c r="EI46" i="8"/>
  <c r="EH46" i="8"/>
  <c r="EG46" i="8"/>
  <c r="ED46" i="8"/>
  <c r="EC46" i="8"/>
  <c r="EB46" i="8"/>
  <c r="DY46" i="8"/>
  <c r="DX46" i="8"/>
  <c r="DW46" i="8"/>
  <c r="DT46" i="8"/>
  <c r="DS46" i="8"/>
  <c r="DR46" i="8"/>
  <c r="DO46" i="8"/>
  <c r="DN46" i="8"/>
  <c r="DM46" i="8"/>
  <c r="DJ46" i="8"/>
  <c r="DI46" i="8"/>
  <c r="DH46" i="8"/>
  <c r="K61" i="8" l="1"/>
  <c r="DD31" i="8" l="1"/>
  <c r="DC31" i="8"/>
  <c r="CT31" i="8"/>
  <c r="CS31" i="8"/>
  <c r="CO31" i="8"/>
  <c r="CN31" i="8"/>
  <c r="CJ31" i="8"/>
  <c r="CI31" i="8"/>
  <c r="CE31" i="8"/>
  <c r="CD31" i="8"/>
  <c r="BZ31" i="8"/>
  <c r="BY31" i="8"/>
  <c r="BU31" i="8"/>
  <c r="BT31" i="8"/>
  <c r="BP31" i="8"/>
  <c r="BO31" i="8"/>
  <c r="BK31" i="8"/>
  <c r="BJ31" i="8"/>
  <c r="BF31" i="8"/>
  <c r="BE31" i="8"/>
  <c r="BA31" i="8"/>
  <c r="AZ31" i="8"/>
  <c r="AV31" i="8"/>
  <c r="AU31" i="8"/>
  <c r="AQ31" i="8"/>
  <c r="AP31" i="8"/>
  <c r="AL31" i="8"/>
  <c r="AK31" i="8"/>
  <c r="AG31" i="8"/>
  <c r="AF31" i="8"/>
  <c r="AB31" i="8"/>
  <c r="AA31" i="8"/>
  <c r="W31" i="8"/>
  <c r="V31" i="8"/>
  <c r="R31" i="8"/>
  <c r="Q31" i="8"/>
  <c r="M31" i="8"/>
  <c r="L31" i="8"/>
  <c r="DE31" i="8"/>
  <c r="CU31" i="8"/>
  <c r="CP31" i="8"/>
  <c r="CK31" i="8"/>
  <c r="CF31" i="8"/>
  <c r="CA31" i="8"/>
  <c r="BV31" i="8"/>
  <c r="BQ31" i="8"/>
  <c r="BL31" i="8"/>
  <c r="BG31" i="8"/>
  <c r="BB31" i="8"/>
  <c r="AW31" i="8"/>
  <c r="AR31" i="8"/>
  <c r="AM31" i="8"/>
  <c r="AH31" i="8"/>
  <c r="AC31" i="8"/>
  <c r="X31" i="8"/>
  <c r="S31" i="8"/>
  <c r="N31" i="8"/>
  <c r="I31" i="8"/>
  <c r="H31" i="8"/>
  <c r="G31" i="8"/>
  <c r="D31" i="8"/>
  <c r="C31" i="8"/>
  <c r="B31" i="8"/>
  <c r="K24" i="3" l="1"/>
  <c r="J24" i="3"/>
  <c r="I1" i="3" l="1"/>
  <c r="H1" i="3"/>
  <c r="X76" i="8" l="1"/>
  <c r="W76" i="8"/>
  <c r="V76" i="8"/>
  <c r="X61" i="8"/>
  <c r="W61" i="8"/>
  <c r="V61" i="8"/>
  <c r="X46" i="8"/>
  <c r="W46" i="8"/>
  <c r="V46" i="8"/>
  <c r="Z48" i="8"/>
  <c r="F46" i="8"/>
  <c r="F33" i="8"/>
  <c r="DE46" i="8"/>
  <c r="DD46" i="8"/>
  <c r="DC46" i="8"/>
  <c r="CZ46" i="8"/>
  <c r="CY46" i="8"/>
  <c r="CX46" i="8"/>
  <c r="CU46" i="8"/>
  <c r="CT46" i="8"/>
  <c r="CS46" i="8"/>
  <c r="CP46" i="8"/>
  <c r="CO46" i="8"/>
  <c r="CN46" i="8"/>
  <c r="CK46" i="8"/>
  <c r="CJ46" i="8"/>
  <c r="CI46" i="8"/>
  <c r="BV46" i="8"/>
  <c r="BU46" i="8"/>
  <c r="BT46" i="8"/>
  <c r="BQ46" i="8"/>
  <c r="BP46" i="8"/>
  <c r="BO46" i="8"/>
  <c r="BL46" i="8"/>
  <c r="BK46" i="8"/>
  <c r="BJ46" i="8"/>
  <c r="BG46" i="8"/>
  <c r="BF46" i="8"/>
  <c r="BE46" i="8"/>
  <c r="BB46" i="8"/>
  <c r="BA46" i="8"/>
  <c r="AZ46" i="8"/>
  <c r="AW46" i="8"/>
  <c r="AV46" i="8"/>
  <c r="AU46" i="8"/>
  <c r="AR46" i="8"/>
  <c r="AQ46" i="8"/>
  <c r="AP46" i="8"/>
  <c r="AM46" i="8"/>
  <c r="AL46" i="8"/>
  <c r="AK46" i="8"/>
  <c r="AH46" i="8"/>
  <c r="AG46" i="8"/>
  <c r="AF46" i="8"/>
  <c r="AC46" i="8"/>
  <c r="AB46" i="8"/>
  <c r="AA46" i="8"/>
  <c r="S46" i="8"/>
  <c r="R46" i="8"/>
  <c r="Q46" i="8"/>
  <c r="N46" i="8"/>
  <c r="M46" i="8"/>
  <c r="L46" i="8"/>
  <c r="I46" i="8"/>
  <c r="H46" i="8"/>
  <c r="G46" i="8"/>
  <c r="D46" i="8"/>
  <c r="C46" i="8"/>
  <c r="B46" i="8"/>
  <c r="CF46" i="8"/>
  <c r="CE46" i="8"/>
  <c r="CD46" i="8"/>
  <c r="CA46" i="8"/>
  <c r="BZ46" i="8"/>
  <c r="BY46" i="8"/>
  <c r="K33" i="8" l="1"/>
  <c r="P33" i="8" s="1"/>
  <c r="K46" i="8"/>
  <c r="P46" i="8" s="1"/>
  <c r="DE61" i="8"/>
  <c r="DD61" i="8"/>
  <c r="DC61" i="8"/>
  <c r="CZ61" i="8"/>
  <c r="CY61" i="8"/>
  <c r="CX61" i="8"/>
  <c r="CU61" i="8"/>
  <c r="CT61" i="8"/>
  <c r="CS61" i="8"/>
  <c r="U46" i="8" l="1"/>
  <c r="Z46" i="8"/>
  <c r="AE46" i="8" s="1"/>
  <c r="AJ46" i="8" s="1"/>
  <c r="AO46" i="8" s="1"/>
  <c r="AT46" i="8" s="1"/>
  <c r="AY46" i="8" s="1"/>
  <c r="BD46" i="8" s="1"/>
  <c r="BN46" i="8" s="1"/>
  <c r="BS46" i="8" s="1"/>
  <c r="BX46" i="8" s="1"/>
  <c r="CC46" i="8" s="1"/>
  <c r="CH46" i="8" s="1"/>
  <c r="CM46" i="8" s="1"/>
  <c r="CR46" i="8" s="1"/>
  <c r="CW46" i="8" s="1"/>
  <c r="DB46" i="8" s="1"/>
  <c r="DG46" i="8" s="1"/>
  <c r="DL46" i="8" s="1"/>
  <c r="DQ46" i="8" s="1"/>
  <c r="DV46" i="8" s="1"/>
  <c r="EA46" i="8" s="1"/>
  <c r="EF46" i="8" s="1"/>
  <c r="EK46" i="8" s="1"/>
  <c r="EP46" i="8" s="1"/>
  <c r="EU46" i="8" s="1"/>
  <c r="EZ46" i="8" s="1"/>
  <c r="FE46" i="8" s="1"/>
  <c r="FJ46" i="8" s="1"/>
  <c r="U33" i="8"/>
  <c r="Z33" i="8"/>
  <c r="AE33" i="8" s="1"/>
  <c r="AJ33" i="8" s="1"/>
  <c r="AO33" i="8" s="1"/>
  <c r="AT33" i="8" s="1"/>
  <c r="AY33" i="8" s="1"/>
  <c r="BD33" i="8" s="1"/>
  <c r="BN33" i="8" s="1"/>
  <c r="BS33" i="8" s="1"/>
  <c r="BX33" i="8" s="1"/>
  <c r="CC33" i="8" s="1"/>
  <c r="CH33" i="8" s="1"/>
  <c r="CM33" i="8" s="1"/>
  <c r="CR33" i="8" s="1"/>
  <c r="CW33" i="8" s="1"/>
  <c r="DB33" i="8" s="1"/>
  <c r="DG33" i="8" s="1"/>
  <c r="DL33" i="8" s="1"/>
  <c r="DQ33" i="8" s="1"/>
  <c r="DV33" i="8" s="1"/>
  <c r="EA33" i="8" s="1"/>
  <c r="EF33" i="8" s="1"/>
  <c r="EK33" i="8" s="1"/>
  <c r="EP33" i="8" s="1"/>
  <c r="EU33" i="8" s="1"/>
  <c r="EZ33" i="8" s="1"/>
  <c r="FE33" i="8" s="1"/>
  <c r="FJ33" i="8" s="1"/>
  <c r="C25" i="4"/>
  <c r="B3" i="4"/>
  <c r="K26" i="4"/>
  <c r="L26" i="4"/>
  <c r="M26" i="4"/>
  <c r="B16" i="4"/>
  <c r="C5" i="4" l="1"/>
  <c r="D5" i="4"/>
  <c r="E5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K25" i="3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J25" i="3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2" i="3" s="1"/>
  <c r="J43" i="3" s="1"/>
  <c r="J44" i="3" s="1"/>
  <c r="K46" i="3" l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J46" i="3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E4" i="4"/>
  <c r="D15" i="3"/>
  <c r="C4" i="4"/>
  <c r="B15" i="3"/>
  <c r="D4" i="4"/>
  <c r="C15" i="3"/>
  <c r="C6" i="4"/>
  <c r="D6" i="4"/>
  <c r="E6" i="4"/>
  <c r="CP76" i="8"/>
  <c r="CO76" i="8"/>
  <c r="CN76" i="8"/>
  <c r="CK76" i="8"/>
  <c r="CJ76" i="8"/>
  <c r="CI76" i="8"/>
  <c r="CC76" i="8"/>
  <c r="CH76" i="8" s="1"/>
  <c r="CM76" i="8" s="1"/>
  <c r="CF75" i="8"/>
  <c r="CE75" i="8"/>
  <c r="CD75" i="8"/>
  <c r="BY75" i="8"/>
  <c r="CF74" i="8"/>
  <c r="CE74" i="8"/>
  <c r="CD74" i="8"/>
  <c r="CA74" i="8"/>
  <c r="BZ74" i="8"/>
  <c r="BY74" i="8"/>
  <c r="CF73" i="8"/>
  <c r="CE73" i="8"/>
  <c r="CD73" i="8"/>
  <c r="CA73" i="8"/>
  <c r="BZ73" i="8"/>
  <c r="BY73" i="8"/>
  <c r="CF72" i="8"/>
  <c r="CE72" i="8"/>
  <c r="CD72" i="8"/>
  <c r="CA72" i="8"/>
  <c r="BZ72" i="8"/>
  <c r="BY72" i="8"/>
  <c r="CF71" i="8"/>
  <c r="CE71" i="8"/>
  <c r="CD71" i="8"/>
  <c r="CA71" i="8"/>
  <c r="BZ71" i="8"/>
  <c r="BY71" i="8"/>
  <c r="CF70" i="8"/>
  <c r="CE70" i="8"/>
  <c r="CD70" i="8"/>
  <c r="CA70" i="8"/>
  <c r="BZ70" i="8"/>
  <c r="BY70" i="8"/>
  <c r="CF69" i="8"/>
  <c r="CE69" i="8"/>
  <c r="CD69" i="8"/>
  <c r="CA69" i="8"/>
  <c r="BZ69" i="8"/>
  <c r="BY69" i="8"/>
  <c r="CF68" i="8"/>
  <c r="CE68" i="8"/>
  <c r="CD68" i="8"/>
  <c r="CA68" i="8"/>
  <c r="BZ68" i="8"/>
  <c r="BY68" i="8"/>
  <c r="CF67" i="8"/>
  <c r="CE67" i="8"/>
  <c r="CD67" i="8"/>
  <c r="CA67" i="8"/>
  <c r="BZ67" i="8"/>
  <c r="BY67" i="8"/>
  <c r="CF65" i="8"/>
  <c r="CE65" i="8"/>
  <c r="CD65" i="8"/>
  <c r="BY65" i="8"/>
  <c r="CF64" i="8"/>
  <c r="CE64" i="8"/>
  <c r="CA64" i="8"/>
  <c r="BZ64" i="8"/>
  <c r="BY64" i="8"/>
  <c r="CC63" i="8"/>
  <c r="CH63" i="8" s="1"/>
  <c r="CM63" i="8" s="1"/>
  <c r="CP61" i="8"/>
  <c r="CO61" i="8"/>
  <c r="CN61" i="8"/>
  <c r="CK61" i="8"/>
  <c r="CJ61" i="8"/>
  <c r="CI61" i="8"/>
  <c r="CC61" i="8"/>
  <c r="CH61" i="8" s="1"/>
  <c r="CM61" i="8" s="1"/>
  <c r="CR61" i="8" s="1"/>
  <c r="CW61" i="8" s="1"/>
  <c r="DB61" i="8" s="1"/>
  <c r="DG61" i="8" s="1"/>
  <c r="DL61" i="8" s="1"/>
  <c r="DQ61" i="8" s="1"/>
  <c r="DV61" i="8" s="1"/>
  <c r="EA61" i="8" s="1"/>
  <c r="EF61" i="8" s="1"/>
  <c r="EK61" i="8" s="1"/>
  <c r="EP61" i="8" s="1"/>
  <c r="EU61" i="8" s="1"/>
  <c r="EZ61" i="8" s="1"/>
  <c r="FE61" i="8" s="1"/>
  <c r="FJ61" i="8" s="1"/>
  <c r="CF60" i="8"/>
  <c r="CE60" i="8"/>
  <c r="CD60" i="8"/>
  <c r="CA60" i="8"/>
  <c r="BZ60" i="8"/>
  <c r="BY60" i="8"/>
  <c r="CF59" i="8"/>
  <c r="X94" i="8" s="1"/>
  <c r="I11" i="3" s="1"/>
  <c r="CE59" i="8"/>
  <c r="CD59" i="8"/>
  <c r="BZ59" i="8"/>
  <c r="BY59" i="8"/>
  <c r="CF58" i="8"/>
  <c r="CE58" i="8"/>
  <c r="CD58" i="8"/>
  <c r="CA58" i="8"/>
  <c r="BZ58" i="8"/>
  <c r="BY58" i="8"/>
  <c r="CF57" i="8"/>
  <c r="CE57" i="8"/>
  <c r="CD57" i="8"/>
  <c r="CA57" i="8"/>
  <c r="X92" i="8" s="1"/>
  <c r="I9" i="3" s="1"/>
  <c r="BZ57" i="8"/>
  <c r="BY57" i="8"/>
  <c r="CF56" i="8"/>
  <c r="CE56" i="8"/>
  <c r="CD56" i="8"/>
  <c r="CA56" i="8"/>
  <c r="BZ56" i="8"/>
  <c r="BY56" i="8"/>
  <c r="V91" i="8" s="1"/>
  <c r="G8" i="3" s="1"/>
  <c r="CF55" i="8"/>
  <c r="CE55" i="8"/>
  <c r="CD55" i="8"/>
  <c r="CA55" i="8"/>
  <c r="X90" i="8" s="1"/>
  <c r="I7" i="3" s="1"/>
  <c r="BZ55" i="8"/>
  <c r="BY55" i="8"/>
  <c r="CF54" i="8"/>
  <c r="CE54" i="8"/>
  <c r="CD54" i="8"/>
  <c r="CA54" i="8"/>
  <c r="BZ54" i="8"/>
  <c r="BY54" i="8"/>
  <c r="V89" i="8" s="1"/>
  <c r="G6" i="3" s="1"/>
  <c r="CF53" i="8"/>
  <c r="CE53" i="8"/>
  <c r="CD53" i="8"/>
  <c r="CA53" i="8"/>
  <c r="X88" i="8" s="1"/>
  <c r="I5" i="3" s="1"/>
  <c r="BZ53" i="8"/>
  <c r="BY53" i="8"/>
  <c r="CF52" i="8"/>
  <c r="CE52" i="8"/>
  <c r="CD52" i="8"/>
  <c r="CA52" i="8"/>
  <c r="BZ52" i="8"/>
  <c r="BY52" i="8"/>
  <c r="V87" i="8" s="1"/>
  <c r="G4" i="3" s="1"/>
  <c r="CF51" i="8"/>
  <c r="CE51" i="8"/>
  <c r="CD51" i="8"/>
  <c r="CA51" i="8"/>
  <c r="X86" i="8" s="1"/>
  <c r="I3" i="3" s="1"/>
  <c r="BZ51" i="8"/>
  <c r="BY51" i="8"/>
  <c r="CF50" i="8"/>
  <c r="CE50" i="8"/>
  <c r="CD50" i="8"/>
  <c r="CA50" i="8"/>
  <c r="BZ50" i="8"/>
  <c r="BY50" i="8"/>
  <c r="V85" i="8" s="1"/>
  <c r="G14" i="3" s="1"/>
  <c r="CF49" i="8"/>
  <c r="CE49" i="8"/>
  <c r="CD49" i="8"/>
  <c r="CA49" i="8"/>
  <c r="X84" i="8" s="1"/>
  <c r="I13" i="3" s="1"/>
  <c r="BZ49" i="8"/>
  <c r="BY49" i="8"/>
  <c r="CC48" i="8"/>
  <c r="CH48" i="8" s="1"/>
  <c r="CM48" i="8" s="1"/>
  <c r="W91" i="8" l="1"/>
  <c r="H8" i="3" s="1"/>
  <c r="X95" i="8"/>
  <c r="I12" i="3" s="1"/>
  <c r="W93" i="8"/>
  <c r="H10" i="3" s="1"/>
  <c r="V94" i="8"/>
  <c r="G11" i="3" s="1"/>
  <c r="C35" i="4" s="1"/>
  <c r="X85" i="8"/>
  <c r="I14" i="3" s="1"/>
  <c r="X87" i="8"/>
  <c r="I4" i="3" s="1"/>
  <c r="X89" i="8"/>
  <c r="I6" i="3" s="1"/>
  <c r="X91" i="8"/>
  <c r="I8" i="3" s="1"/>
  <c r="E32" i="4" s="1"/>
  <c r="W85" i="8"/>
  <c r="H14" i="3" s="1"/>
  <c r="D38" i="4" s="1"/>
  <c r="W89" i="8"/>
  <c r="H6" i="3" s="1"/>
  <c r="V84" i="8"/>
  <c r="G13" i="3" s="1"/>
  <c r="C37" i="4" s="1"/>
  <c r="V86" i="8"/>
  <c r="G3" i="3" s="1"/>
  <c r="V88" i="8"/>
  <c r="G5" i="3" s="1"/>
  <c r="V90" i="8"/>
  <c r="G7" i="3" s="1"/>
  <c r="V92" i="8"/>
  <c r="G9" i="3" s="1"/>
  <c r="C33" i="4" s="1"/>
  <c r="X93" i="8"/>
  <c r="I10" i="3" s="1"/>
  <c r="E34" i="4" s="1"/>
  <c r="W84" i="8"/>
  <c r="H13" i="3" s="1"/>
  <c r="W86" i="8"/>
  <c r="H3" i="3" s="1"/>
  <c r="W88" i="8"/>
  <c r="H5" i="3" s="1"/>
  <c r="D29" i="4" s="1"/>
  <c r="W90" i="8"/>
  <c r="H7" i="3" s="1"/>
  <c r="W92" i="8"/>
  <c r="H9" i="3" s="1"/>
  <c r="D33" i="4" s="1"/>
  <c r="W94" i="8"/>
  <c r="H11" i="3" s="1"/>
  <c r="V95" i="8"/>
  <c r="G12" i="3" s="1"/>
  <c r="C36" i="4" s="1"/>
  <c r="V93" i="8"/>
  <c r="G10" i="3" s="1"/>
  <c r="C34" i="4" s="1"/>
  <c r="W95" i="8"/>
  <c r="H12" i="3" s="1"/>
  <c r="W87" i="8"/>
  <c r="H4" i="3" s="1"/>
  <c r="D28" i="4" s="1"/>
  <c r="E16" i="4"/>
  <c r="C16" i="4"/>
  <c r="E37" i="4"/>
  <c r="C38" i="4"/>
  <c r="E28" i="4"/>
  <c r="C29" i="4"/>
  <c r="C31" i="4"/>
  <c r="E35" i="4"/>
  <c r="E38" i="4"/>
  <c r="E30" i="4"/>
  <c r="C28" i="4"/>
  <c r="E29" i="4"/>
  <c r="C30" i="4"/>
  <c r="E31" i="4"/>
  <c r="C32" i="4"/>
  <c r="D36" i="4"/>
  <c r="D30" i="4"/>
  <c r="D32" i="4"/>
  <c r="D34" i="4"/>
  <c r="E36" i="4"/>
  <c r="D37" i="4"/>
  <c r="D31" i="4"/>
  <c r="D35" i="4"/>
  <c r="D16" i="4"/>
  <c r="E33" i="4"/>
  <c r="BZ76" i="8"/>
  <c r="CE61" i="8"/>
  <c r="BY76" i="8"/>
  <c r="CD76" i="8"/>
  <c r="BY61" i="8"/>
  <c r="CF76" i="8"/>
  <c r="BZ61" i="8"/>
  <c r="CF61" i="8"/>
  <c r="CA61" i="8"/>
  <c r="CD61" i="8"/>
  <c r="CE76" i="8"/>
  <c r="CA76" i="8"/>
  <c r="H15" i="3" l="1"/>
  <c r="D27" i="4"/>
  <c r="G15" i="3"/>
  <c r="C27" i="4"/>
  <c r="C39" i="4" s="1"/>
  <c r="I15" i="3"/>
  <c r="E27" i="4"/>
  <c r="W96" i="8"/>
  <c r="V96" i="8"/>
  <c r="X96" i="8"/>
  <c r="I1" i="4"/>
  <c r="J2" i="4"/>
  <c r="K2" i="4"/>
  <c r="L2" i="4"/>
  <c r="F4" i="4"/>
  <c r="I3" i="4"/>
  <c r="I4" i="4"/>
  <c r="I5" i="4"/>
  <c r="I6" i="4"/>
  <c r="I7" i="4"/>
  <c r="I8" i="4"/>
  <c r="I9" i="4"/>
  <c r="I10" i="4"/>
  <c r="J15" i="3" l="1"/>
  <c r="C18" i="4"/>
  <c r="D39" i="4"/>
  <c r="D43" i="4" s="1"/>
  <c r="E39" i="4"/>
  <c r="E43" i="4" s="1"/>
  <c r="C41" i="4"/>
  <c r="F28" i="4"/>
  <c r="F29" i="4"/>
  <c r="F30" i="4"/>
  <c r="F31" i="4"/>
  <c r="F32" i="4"/>
  <c r="F33" i="4"/>
  <c r="F34" i="4"/>
  <c r="F35" i="4"/>
  <c r="F36" i="4"/>
  <c r="F37" i="4"/>
  <c r="F38" i="4"/>
  <c r="F27" i="4"/>
  <c r="C22" i="4" l="1"/>
  <c r="F16" i="4"/>
  <c r="L17" i="4" s="1"/>
  <c r="C20" i="4"/>
  <c r="D45" i="4"/>
  <c r="F39" i="4"/>
  <c r="C43" i="4"/>
  <c r="D41" i="4"/>
  <c r="C45" i="4"/>
  <c r="E45" i="4"/>
  <c r="E41" i="4"/>
  <c r="F15" i="3"/>
  <c r="F2" i="3"/>
  <c r="J12" i="3"/>
  <c r="J11" i="3"/>
  <c r="J10" i="3"/>
  <c r="J9" i="3"/>
  <c r="J8" i="3"/>
  <c r="J7" i="3"/>
  <c r="J6" i="3"/>
  <c r="J5" i="3"/>
  <c r="J4" i="3"/>
  <c r="J3" i="3"/>
  <c r="J14" i="3"/>
  <c r="J13" i="3"/>
  <c r="E4" i="3"/>
  <c r="E5" i="3"/>
  <c r="E6" i="3"/>
  <c r="E7" i="3"/>
  <c r="E8" i="3"/>
  <c r="E9" i="3"/>
  <c r="E10" i="3"/>
  <c r="E11" i="3"/>
  <c r="E12" i="3"/>
  <c r="E13" i="3"/>
  <c r="E14" i="3"/>
  <c r="E3" i="3"/>
  <c r="F1" i="3"/>
  <c r="B25" i="4" s="1"/>
  <c r="I25" i="4" s="1"/>
  <c r="B1" i="3"/>
  <c r="B2" i="4" s="1"/>
  <c r="G2" i="3"/>
  <c r="H2" i="3"/>
  <c r="I2" i="3"/>
  <c r="A3" i="3"/>
  <c r="A4" i="3"/>
  <c r="A5" i="3"/>
  <c r="A6" i="3"/>
  <c r="A7" i="3"/>
  <c r="A8" i="3"/>
  <c r="A9" i="3"/>
  <c r="A10" i="3"/>
  <c r="A11" i="3"/>
  <c r="A12" i="3"/>
  <c r="A13" i="3"/>
  <c r="A14" i="3"/>
  <c r="B2" i="3"/>
  <c r="C2" i="3"/>
  <c r="D2" i="3"/>
  <c r="E15" i="3" l="1"/>
  <c r="B26" i="4"/>
  <c r="F10" i="3"/>
  <c r="B34" i="4" s="1"/>
  <c r="B13" i="4"/>
  <c r="F12" i="3"/>
  <c r="B36" i="4" s="1"/>
  <c r="B15" i="4"/>
  <c r="F8" i="3"/>
  <c r="B32" i="4" s="1"/>
  <c r="B11" i="4"/>
  <c r="F4" i="3"/>
  <c r="B28" i="4" s="1"/>
  <c r="B7" i="4"/>
  <c r="F6" i="3"/>
  <c r="B30" i="4" s="1"/>
  <c r="B9" i="4"/>
  <c r="F14" i="3"/>
  <c r="B38" i="4" s="1"/>
  <c r="B5" i="4"/>
  <c r="F9" i="3"/>
  <c r="B33" i="4" s="1"/>
  <c r="B12" i="4"/>
  <c r="F5" i="3"/>
  <c r="B29" i="4" s="1"/>
  <c r="B8" i="4"/>
  <c r="F11" i="3"/>
  <c r="B35" i="4" s="1"/>
  <c r="B14" i="4"/>
  <c r="F7" i="3"/>
  <c r="B31" i="4" s="1"/>
  <c r="B10" i="4"/>
  <c r="F3" i="3"/>
  <c r="B27" i="4" s="1"/>
  <c r="B6" i="4"/>
  <c r="B39" i="4"/>
  <c r="F13" i="3"/>
  <c r="B37" i="4" s="1"/>
  <c r="B4" i="4"/>
  <c r="J17" i="4"/>
  <c r="K17" i="4"/>
  <c r="F6" i="4"/>
  <c r="F5" i="4"/>
  <c r="F12" i="4"/>
  <c r="F8" i="4"/>
  <c r="F14" i="4"/>
  <c r="F10" i="4"/>
  <c r="F13" i="4"/>
  <c r="F9" i="4"/>
  <c r="F15" i="4"/>
  <c r="F11" i="4"/>
  <c r="F7" i="4"/>
  <c r="E20" i="4"/>
  <c r="E22" i="4"/>
  <c r="E18" i="4"/>
  <c r="R96" i="8"/>
  <c r="Q96" i="8"/>
  <c r="N96" i="8"/>
  <c r="M96" i="8"/>
  <c r="L96" i="8"/>
  <c r="F96" i="8"/>
  <c r="K96" i="8" s="1"/>
  <c r="P96" i="8" s="1"/>
  <c r="U96" i="8" s="1"/>
  <c r="Z96" i="8" s="1"/>
  <c r="AE96" i="8" s="1"/>
  <c r="F83" i="8"/>
  <c r="K83" i="8" s="1"/>
  <c r="P83" i="8" s="1"/>
  <c r="U83" i="8" s="1"/>
  <c r="Z83" i="8" s="1"/>
  <c r="AE83" i="8" s="1"/>
  <c r="D96" i="8"/>
  <c r="C96" i="8"/>
  <c r="B96" i="8"/>
  <c r="BV76" i="8"/>
  <c r="BU76" i="8"/>
  <c r="BT76" i="8"/>
  <c r="BQ76" i="8"/>
  <c r="BP76" i="8"/>
  <c r="BO76" i="8"/>
  <c r="BL76" i="8"/>
  <c r="BK76" i="8"/>
  <c r="BJ76" i="8"/>
  <c r="BG76" i="8"/>
  <c r="BF76" i="8"/>
  <c r="BE76" i="8"/>
  <c r="BB76" i="8"/>
  <c r="BA76" i="8"/>
  <c r="AZ76" i="8"/>
  <c r="AW76" i="8"/>
  <c r="AV76" i="8"/>
  <c r="AU76" i="8"/>
  <c r="AR76" i="8"/>
  <c r="AQ76" i="8"/>
  <c r="AP76" i="8"/>
  <c r="AM76" i="8"/>
  <c r="AL76" i="8"/>
  <c r="AK76" i="8"/>
  <c r="AH76" i="8"/>
  <c r="AG76" i="8"/>
  <c r="AF76" i="8"/>
  <c r="AC76" i="8"/>
  <c r="AB76" i="8"/>
  <c r="AA76" i="8"/>
  <c r="S76" i="8"/>
  <c r="R76" i="8"/>
  <c r="Q76" i="8"/>
  <c r="N76" i="8"/>
  <c r="M76" i="8"/>
  <c r="L76" i="8"/>
  <c r="I76" i="8"/>
  <c r="H76" i="8"/>
  <c r="G76" i="8"/>
  <c r="F76" i="8"/>
  <c r="D76" i="8"/>
  <c r="C76" i="8"/>
  <c r="B76" i="8"/>
  <c r="F63" i="8"/>
  <c r="BV61" i="8"/>
  <c r="BU61" i="8"/>
  <c r="BT61" i="8"/>
  <c r="BQ61" i="8"/>
  <c r="BP61" i="8"/>
  <c r="BO61" i="8"/>
  <c r="BL61" i="8"/>
  <c r="BK61" i="8"/>
  <c r="BJ61" i="8"/>
  <c r="BG61" i="8"/>
  <c r="BF61" i="8"/>
  <c r="BE61" i="8"/>
  <c r="BB61" i="8"/>
  <c r="BA61" i="8"/>
  <c r="AZ61" i="8"/>
  <c r="AW61" i="8"/>
  <c r="AV61" i="8"/>
  <c r="AU61" i="8"/>
  <c r="AR61" i="8"/>
  <c r="AQ61" i="8"/>
  <c r="AP61" i="8"/>
  <c r="AM61" i="8"/>
  <c r="AL61" i="8"/>
  <c r="AK61" i="8"/>
  <c r="AH61" i="8"/>
  <c r="AG61" i="8"/>
  <c r="AF61" i="8"/>
  <c r="AC61" i="8"/>
  <c r="AB61" i="8"/>
  <c r="AA61" i="8"/>
  <c r="S61" i="8"/>
  <c r="R61" i="8"/>
  <c r="Q61" i="8"/>
  <c r="N61" i="8"/>
  <c r="M61" i="8"/>
  <c r="L61" i="8"/>
  <c r="P61" i="8"/>
  <c r="I61" i="8"/>
  <c r="H61" i="8"/>
  <c r="G61" i="8"/>
  <c r="D61" i="8"/>
  <c r="C61" i="8"/>
  <c r="B61" i="8"/>
  <c r="C2" i="7" l="1"/>
  <c r="K63" i="8"/>
  <c r="P63" i="8" s="1"/>
  <c r="K76" i="8"/>
  <c r="P76" i="8" s="1"/>
  <c r="Z61" i="8"/>
  <c r="AE61" i="8" s="1"/>
  <c r="AJ61" i="8" s="1"/>
  <c r="AO61" i="8" s="1"/>
  <c r="AT61" i="8" s="1"/>
  <c r="AY61" i="8" s="1"/>
  <c r="BD61" i="8" s="1"/>
  <c r="BN61" i="8" s="1"/>
  <c r="BS61" i="8" s="1"/>
  <c r="U61" i="8"/>
  <c r="G96" i="8"/>
  <c r="H96" i="8"/>
  <c r="D18" i="4"/>
  <c r="F18" i="4" s="1"/>
  <c r="F17" i="4" s="1"/>
  <c r="J13" i="4" s="1"/>
  <c r="J14" i="4" s="1"/>
  <c r="D20" i="4"/>
  <c r="F20" i="4" s="1"/>
  <c r="F19" i="4" s="1"/>
  <c r="K13" i="4" s="1"/>
  <c r="D22" i="4"/>
  <c r="F22" i="4" s="1"/>
  <c r="F21" i="4" s="1"/>
  <c r="L13" i="4" s="1"/>
  <c r="I96" i="8"/>
  <c r="S96" i="8"/>
  <c r="Z63" i="8" l="1"/>
  <c r="AE63" i="8" s="1"/>
  <c r="AJ63" i="8" s="1"/>
  <c r="AO63" i="8" s="1"/>
  <c r="AT63" i="8" s="1"/>
  <c r="AY63" i="8" s="1"/>
  <c r="BD63" i="8" s="1"/>
  <c r="BN63" i="8" s="1"/>
  <c r="BS63" i="8" s="1"/>
  <c r="U63" i="8"/>
  <c r="Z76" i="8"/>
  <c r="AE76" i="8" s="1"/>
  <c r="AJ76" i="8" s="1"/>
  <c r="AO76" i="8" s="1"/>
  <c r="AT76" i="8" s="1"/>
  <c r="AY76" i="8" s="1"/>
  <c r="BD76" i="8" s="1"/>
  <c r="BI76" i="8" s="1"/>
  <c r="BN76" i="8" s="1"/>
  <c r="BS76" i="8" s="1"/>
  <c r="U76" i="8"/>
  <c r="L14" i="4"/>
  <c r="K14" i="4"/>
  <c r="B9" i="7"/>
  <c r="L1" i="5" l="1"/>
  <c r="D1" i="5"/>
  <c r="C28" i="7" l="1"/>
  <c r="B27" i="7" l="1"/>
  <c r="B26" i="7"/>
  <c r="B7" i="7"/>
  <c r="B8" i="7"/>
  <c r="B6" i="7"/>
  <c r="C10" i="7"/>
  <c r="B10" i="7"/>
  <c r="B19" i="5" l="1"/>
  <c r="I34" i="4" l="1"/>
  <c r="H10" i="6"/>
  <c r="H1" i="6" l="1"/>
  <c r="I13" i="5" l="1"/>
  <c r="D14" i="6" s="1"/>
  <c r="H13" i="5"/>
  <c r="C14" i="6" s="1"/>
  <c r="I12" i="5"/>
  <c r="D13" i="6" s="1"/>
  <c r="H12" i="5"/>
  <c r="C13" i="6" s="1"/>
  <c r="I11" i="5"/>
  <c r="D12" i="6" s="1"/>
  <c r="H11" i="5"/>
  <c r="C12" i="6" s="1"/>
  <c r="I10" i="5"/>
  <c r="D11" i="6" s="1"/>
  <c r="H10" i="5"/>
  <c r="C11" i="6" s="1"/>
  <c r="I9" i="5"/>
  <c r="D10" i="6" s="1"/>
  <c r="H9" i="5"/>
  <c r="C10" i="6" s="1"/>
  <c r="I8" i="5"/>
  <c r="D9" i="6" s="1"/>
  <c r="H8" i="5"/>
  <c r="C9" i="6" s="1"/>
  <c r="I7" i="5"/>
  <c r="D8" i="6" s="1"/>
  <c r="H7" i="5"/>
  <c r="C8" i="6" s="1"/>
  <c r="I6" i="5"/>
  <c r="D7" i="6" s="1"/>
  <c r="H6" i="5"/>
  <c r="C7" i="6" s="1"/>
  <c r="I5" i="5"/>
  <c r="D6" i="6" s="1"/>
  <c r="H5" i="5"/>
  <c r="C6" i="6" s="1"/>
  <c r="I4" i="5"/>
  <c r="D5" i="6" s="1"/>
  <c r="H4" i="5"/>
  <c r="C5" i="6" s="1"/>
  <c r="I3" i="5"/>
  <c r="D4" i="6" s="1"/>
  <c r="H3" i="5"/>
  <c r="C4" i="6" s="1"/>
  <c r="I2" i="5"/>
  <c r="D3" i="6" s="1"/>
  <c r="H2" i="5"/>
  <c r="C3" i="6" s="1"/>
  <c r="D2" i="6" l="1"/>
  <c r="C2" i="6"/>
  <c r="B16" i="6"/>
  <c r="B15" i="6"/>
  <c r="B2" i="6"/>
  <c r="E14" i="6"/>
  <c r="E13" i="6"/>
  <c r="E12" i="6"/>
  <c r="E11" i="6"/>
  <c r="H9" i="6"/>
  <c r="E10" i="6"/>
  <c r="E9" i="6"/>
  <c r="H8" i="6"/>
  <c r="E8" i="6"/>
  <c r="H7" i="6"/>
  <c r="E7" i="6"/>
  <c r="H6" i="6"/>
  <c r="E6" i="6"/>
  <c r="H5" i="6"/>
  <c r="E5" i="6"/>
  <c r="H4" i="6"/>
  <c r="E4" i="6"/>
  <c r="H3" i="6"/>
  <c r="K2" i="6"/>
  <c r="J2" i="6"/>
  <c r="I2" i="6"/>
  <c r="J3" i="5"/>
  <c r="M3" i="5" s="1"/>
  <c r="J4" i="5"/>
  <c r="M4" i="5" s="1"/>
  <c r="J5" i="5"/>
  <c r="M5" i="5" s="1"/>
  <c r="J6" i="5"/>
  <c r="M6" i="5" s="1"/>
  <c r="J7" i="5"/>
  <c r="M7" i="5" s="1"/>
  <c r="J8" i="5"/>
  <c r="M8" i="5" s="1"/>
  <c r="J9" i="5"/>
  <c r="M9" i="5" s="1"/>
  <c r="J10" i="5"/>
  <c r="M10" i="5" s="1"/>
  <c r="J11" i="5"/>
  <c r="M11" i="5" s="1"/>
  <c r="J12" i="5"/>
  <c r="M12" i="5" s="1"/>
  <c r="J13" i="5"/>
  <c r="M13" i="5" s="1"/>
  <c r="J2" i="5"/>
  <c r="N2" i="5" s="1"/>
  <c r="B26" i="5"/>
  <c r="B25" i="5"/>
  <c r="I14" i="5"/>
  <c r="D15" i="6" s="1"/>
  <c r="H14" i="5"/>
  <c r="C15" i="6" s="1"/>
  <c r="F14" i="5"/>
  <c r="E14" i="5"/>
  <c r="C14" i="5"/>
  <c r="B14" i="5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D5" i="5"/>
  <c r="G5" i="5" s="1"/>
  <c r="D4" i="5"/>
  <c r="G4" i="5" s="1"/>
  <c r="D3" i="5"/>
  <c r="G3" i="5" s="1"/>
  <c r="D2" i="5"/>
  <c r="G2" i="5" s="1"/>
  <c r="I29" i="4"/>
  <c r="I33" i="4"/>
  <c r="I32" i="4"/>
  <c r="I31" i="4"/>
  <c r="I30" i="4"/>
  <c r="I28" i="4"/>
  <c r="I27" i="4"/>
  <c r="E15" i="6" l="1"/>
  <c r="B3" i="6"/>
  <c r="L2" i="5"/>
  <c r="B7" i="6"/>
  <c r="L6" i="5"/>
  <c r="B11" i="6"/>
  <c r="L10" i="5"/>
  <c r="B4" i="6"/>
  <c r="L3" i="5"/>
  <c r="B6" i="6"/>
  <c r="L5" i="5"/>
  <c r="B8" i="6"/>
  <c r="L7" i="5"/>
  <c r="B10" i="6"/>
  <c r="L9" i="5"/>
  <c r="B12" i="6"/>
  <c r="L11" i="5"/>
  <c r="B14" i="6"/>
  <c r="L13" i="5"/>
  <c r="N13" i="5"/>
  <c r="N11" i="5"/>
  <c r="N9" i="5"/>
  <c r="N7" i="5"/>
  <c r="N5" i="5"/>
  <c r="N3" i="5"/>
  <c r="B5" i="6"/>
  <c r="L4" i="5"/>
  <c r="B9" i="6"/>
  <c r="L8" i="5"/>
  <c r="B13" i="6"/>
  <c r="L12" i="5"/>
  <c r="M2" i="5"/>
  <c r="N12" i="5"/>
  <c r="N10" i="5"/>
  <c r="N8" i="5"/>
  <c r="N6" i="5"/>
  <c r="N4" i="5"/>
  <c r="H15" i="5"/>
  <c r="C16" i="6" s="1"/>
  <c r="I15" i="5"/>
  <c r="D16" i="6" s="1"/>
  <c r="J14" i="5"/>
  <c r="J15" i="5" s="1"/>
  <c r="F15" i="5"/>
  <c r="E15" i="5"/>
  <c r="C15" i="5"/>
  <c r="B15" i="5"/>
  <c r="C20" i="6"/>
  <c r="C22" i="6"/>
  <c r="C18" i="6"/>
  <c r="D22" i="6"/>
  <c r="D18" i="6"/>
  <c r="D20" i="6"/>
  <c r="E3" i="6"/>
  <c r="J17" i="6" l="1"/>
  <c r="K17" i="6"/>
  <c r="I17" i="6"/>
  <c r="E16" i="6"/>
  <c r="E18" i="6"/>
  <c r="E17" i="6" s="1"/>
  <c r="I13" i="6" s="1"/>
  <c r="I14" i="6" s="1"/>
  <c r="E20" i="6"/>
  <c r="E19" i="6" s="1"/>
  <c r="J13" i="6" s="1"/>
  <c r="E22" i="6"/>
  <c r="E21" i="6" s="1"/>
  <c r="K13" i="6" s="1"/>
  <c r="K14" i="6" l="1"/>
  <c r="J14" i="6"/>
  <c r="F45" i="4" l="1"/>
  <c r="F43" i="4"/>
  <c r="F42" i="4" s="1"/>
  <c r="L37" i="4" s="1"/>
  <c r="F41" i="4"/>
  <c r="F40" i="4" s="1"/>
  <c r="K37" i="4" s="1"/>
  <c r="L38" i="4" l="1"/>
  <c r="K38" i="4"/>
  <c r="F44" i="4"/>
  <c r="M37" i="4"/>
</calcChain>
</file>

<file path=xl/sharedStrings.xml><?xml version="1.0" encoding="utf-8"?>
<sst xmlns="http://schemas.openxmlformats.org/spreadsheetml/2006/main" count="3325" uniqueCount="306">
  <si>
    <t>Ragione_sociale</t>
  </si>
  <si>
    <t>P.IVA</t>
  </si>
  <si>
    <t>Indirizzo_legale</t>
  </si>
  <si>
    <t>Comune_legale</t>
  </si>
  <si>
    <t>CAP_legale</t>
  </si>
  <si>
    <t>Provincia_legale</t>
  </si>
  <si>
    <t>Indirizzo_fatturazione</t>
  </si>
  <si>
    <t>Comune_fatturazione</t>
  </si>
  <si>
    <t>CAP_fatturazione</t>
  </si>
  <si>
    <t>Provincia_fatturazione</t>
  </si>
  <si>
    <t>Responsabile_amministrativo</t>
  </si>
  <si>
    <t>Indirizzo_e-mail</t>
  </si>
  <si>
    <t>Telefono</t>
  </si>
  <si>
    <t>Fax</t>
  </si>
  <si>
    <t>DATI</t>
  </si>
  <si>
    <t>Prezzo di riferimento</t>
  </si>
  <si>
    <t>Modalità pagamento preferita</t>
  </si>
  <si>
    <t>GG pagamento minimi</t>
  </si>
  <si>
    <t>si/no</t>
  </si>
  <si>
    <t>Preferenza indice</t>
  </si>
  <si>
    <t>Fornitori esclusi</t>
  </si>
  <si>
    <t>x/y/z</t>
  </si>
  <si>
    <t>F1</t>
  </si>
  <si>
    <t>F2</t>
  </si>
  <si>
    <t>F3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</si>
  <si>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</si>
  <si>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</si>
  <si>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</si>
  <si>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</si>
  <si>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</si>
  <si>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</si>
  <si>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</si>
  <si>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</si>
  <si>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</si>
  <si>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</si>
  <si>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</si>
  <si>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</si>
  <si>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Ripartizione</t>
  </si>
  <si>
    <t>POD</t>
  </si>
  <si>
    <t>Ragione sociale</t>
  </si>
  <si>
    <t>Indirizzo Prelievo</t>
  </si>
  <si>
    <t>Località</t>
  </si>
  <si>
    <t>Provincia</t>
  </si>
  <si>
    <t>Inizio fornitura</t>
  </si>
  <si>
    <t>Fine fornitura</t>
  </si>
  <si>
    <t xml:space="preserve">                                    Dettagli</t>
  </si>
  <si>
    <t>neutro</t>
  </si>
  <si>
    <t>15ggdf/fime mese df/ecc</t>
  </si>
  <si>
    <t>Garanzie fideiussione/deposito/altro</t>
  </si>
  <si>
    <t>dipende da situazione finanziaria dell'azienda o del gruppo</t>
  </si>
  <si>
    <t>Fisso, Pun, Itec, Misto, ecc</t>
  </si>
  <si>
    <t>Totale €</t>
  </si>
  <si>
    <t>Totale</t>
  </si>
  <si>
    <t>€/MWh Prezzo fisso</t>
  </si>
  <si>
    <t>Capitolato</t>
  </si>
  <si>
    <t>Cessione crediti</t>
  </si>
  <si>
    <t>Garanzie</t>
  </si>
  <si>
    <t>Cambio indice</t>
  </si>
  <si>
    <t>Prezzo Fisso</t>
  </si>
  <si>
    <t>Diff su base annua</t>
  </si>
  <si>
    <t>PUN</t>
  </si>
  <si>
    <t>Dettagli</t>
  </si>
  <si>
    <t>Codice_fiscale</t>
  </si>
  <si>
    <t>Email_invio_fatturazione</t>
  </si>
  <si>
    <t>Rappresentante_legale</t>
  </si>
  <si>
    <t>Sede</t>
  </si>
  <si>
    <t>NOTE PER LA COMPILAZIONE</t>
  </si>
  <si>
    <t>verificare la data di scadenza del precedente contratto ed eventuali clausole per il recesso</t>
  </si>
  <si>
    <t>Prezzo medio ponderato posto a base d'asta €/MWh</t>
  </si>
  <si>
    <t>Rinuncia al recesso</t>
  </si>
  <si>
    <t>Fornitore 1</t>
  </si>
  <si>
    <t>Fornitore 2</t>
  </si>
  <si>
    <t>Fornitore 3</t>
  </si>
  <si>
    <t>Previsioni indice (in caso di indicizzati) mensile</t>
  </si>
  <si>
    <t>Preferenza data e ora asta</t>
  </si>
  <si>
    <t>lun-ven negativo/prima delle 11 e dopo le 16 negativo</t>
  </si>
  <si>
    <t>Modalità pagamenti</t>
  </si>
  <si>
    <t>data</t>
  </si>
  <si>
    <t>ora</t>
  </si>
  <si>
    <t>indicare se prezzo target altrimenti definizione congiunta</t>
  </si>
  <si>
    <t>Previsione indice</t>
  </si>
  <si>
    <t>Possibilità cambio indice in corso di fornitura</t>
  </si>
  <si>
    <t>SI</t>
  </si>
  <si>
    <t>NO</t>
  </si>
  <si>
    <t>SUGGERIMENTI E CONDIZIONI MIGLIORI PER IL PREZZO</t>
  </si>
  <si>
    <t>15 ggdf</t>
  </si>
  <si>
    <t>Off Peak</t>
  </si>
  <si>
    <t>Peak</t>
  </si>
  <si>
    <t>logo</t>
  </si>
  <si>
    <t>Analisi sintetica</t>
  </si>
  <si>
    <t>Penali</t>
  </si>
  <si>
    <t>Potenza disponibile kW</t>
  </si>
  <si>
    <t>Cap</t>
  </si>
  <si>
    <t>Fornitura</t>
  </si>
  <si>
    <t>Buyer</t>
  </si>
  <si>
    <t>Modalità pagamento</t>
  </si>
  <si>
    <t>Dilazione pagamento</t>
  </si>
  <si>
    <t>Cessione dei crediti</t>
  </si>
  <si>
    <t>Indice</t>
  </si>
  <si>
    <t>Corrispettivi inclusi</t>
  </si>
  <si>
    <t>Oneri di sbilanciamento</t>
  </si>
  <si>
    <t>Oneri CO2</t>
  </si>
  <si>
    <t>Certificati verdi</t>
  </si>
  <si>
    <t>Oneri di interconnessione</t>
  </si>
  <si>
    <t>Oneri di congestione delle reti</t>
  </si>
  <si>
    <t>Import</t>
  </si>
  <si>
    <t>Cip 6</t>
  </si>
  <si>
    <t>Corrispettivi esclusi</t>
  </si>
  <si>
    <t>Oneri di trasporto</t>
  </si>
  <si>
    <t>Oneri di distribuzione</t>
  </si>
  <si>
    <t>Perdite di rete</t>
  </si>
  <si>
    <t>Oneri di dispacciamento</t>
  </si>
  <si>
    <t>Iva, salvo esclusioni</t>
  </si>
  <si>
    <t>Imposte erariali, salvo esclusioni</t>
  </si>
  <si>
    <t>Oneri di sistema</t>
  </si>
  <si>
    <t>Servizi ausiliari</t>
  </si>
  <si>
    <t>Possibilità cambio indice</t>
  </si>
  <si>
    <t>Visualizzazione fatture on line</t>
  </si>
  <si>
    <t>Invio fatture in formato elettronico</t>
  </si>
  <si>
    <t xml:space="preserve">Dettaglio delle tariffe di fornitura </t>
  </si>
  <si>
    <t>Referente aziendale diretto</t>
  </si>
  <si>
    <t>Energia elettrica MWh</t>
  </si>
  <si>
    <t>Tipologia fasce</t>
  </si>
  <si>
    <t>NB: si precisa che la tabella recepisce solo alcune delle informazioni fondamentali del capitolato</t>
  </si>
  <si>
    <t>Attuale fornitore</t>
  </si>
  <si>
    <t>Riferimenti, tel, email</t>
  </si>
  <si>
    <t>Previsione 2015</t>
  </si>
  <si>
    <t>Parziale</t>
  </si>
  <si>
    <t>Totale previsione</t>
  </si>
  <si>
    <t>Oneri commercializzazione</t>
  </si>
  <si>
    <t>sdd/bonifico/altro</t>
  </si>
  <si>
    <t>Sdd</t>
  </si>
  <si>
    <t>FISSO</t>
  </si>
  <si>
    <t>BON</t>
  </si>
  <si>
    <t>30 GGDF</t>
  </si>
  <si>
    <t>LIMITI DI LEGGE</t>
  </si>
  <si>
    <t>MEDIA OFFERTE</t>
  </si>
  <si>
    <t>Note</t>
  </si>
  <si>
    <t>Fattura non aggregata</t>
  </si>
  <si>
    <t>CENTRO AGROALIMENTARE DI NAPOLI SCPA</t>
  </si>
  <si>
    <t>C.A.R   S.C.P.A</t>
  </si>
  <si>
    <t>MERCAFIR  S.C.P.A</t>
  </si>
  <si>
    <t>SO.GE.MI.    S.P.A</t>
  </si>
  <si>
    <t>05888670634</t>
  </si>
  <si>
    <t>03853631004</t>
  </si>
  <si>
    <t>03516950155</t>
  </si>
  <si>
    <t>VIA PALAZZIELLO</t>
  </si>
  <si>
    <t>VIA TENUTA DEL CAVALIERE 1</t>
  </si>
  <si>
    <t>PIAZZA E. ARTOM 12</t>
  </si>
  <si>
    <t>VIA C. LOMBROSO 54</t>
  </si>
  <si>
    <t>GUIDONIA MONTECELIO</t>
  </si>
  <si>
    <t>FIRENZE</t>
  </si>
  <si>
    <t>MILANO</t>
  </si>
  <si>
    <t>00012</t>
  </si>
  <si>
    <t>NAPOLI</t>
  </si>
  <si>
    <t>ROMA</t>
  </si>
  <si>
    <t>Sedi</t>
  </si>
  <si>
    <t>IT001E00224523</t>
  </si>
  <si>
    <t>NA</t>
  </si>
  <si>
    <t>IT002E4122404A</t>
  </si>
  <si>
    <t>IT001E00027703</t>
  </si>
  <si>
    <t>VIALE ALESSANDRO GUIDONI SNC</t>
  </si>
  <si>
    <t>IT012E00000975</t>
  </si>
  <si>
    <t>VIA C. LOMBROSO 95</t>
  </si>
  <si>
    <t>IT012E00000974</t>
  </si>
  <si>
    <t>IT012E12802719</t>
  </si>
  <si>
    <t>IT012E00000978</t>
  </si>
  <si>
    <t>VIA MOLISE  62</t>
  </si>
  <si>
    <t>IT012E00000980</t>
  </si>
  <si>
    <t>IT012E00001051</t>
  </si>
  <si>
    <t>IT012E00000979</t>
  </si>
  <si>
    <t>IT012E00000977</t>
  </si>
  <si>
    <t>IT012E00011229</t>
  </si>
  <si>
    <t>VIA C. LOMBROSO 32</t>
  </si>
  <si>
    <t>IT012E00217909</t>
  </si>
  <si>
    <t>VIA C. LOMBROSO 53</t>
  </si>
  <si>
    <t>RM</t>
  </si>
  <si>
    <t>FI</t>
  </si>
  <si>
    <t>MI</t>
  </si>
  <si>
    <t>Totale 2015</t>
  </si>
  <si>
    <t>Totale 2014</t>
  </si>
  <si>
    <t>03967900485</t>
  </si>
  <si>
    <t>m.caldari@agroalimroma.it</t>
  </si>
  <si>
    <t>lorenzo.rocchi@mercafir.it</t>
  </si>
  <si>
    <t>protocollo@mercatimilano.telecompec.it</t>
  </si>
  <si>
    <t>n.duro@agroalimroma.it</t>
  </si>
  <si>
    <t>donella.fantechi@mercafir.it</t>
  </si>
  <si>
    <t>0660501201</t>
  </si>
  <si>
    <t>0554393215</t>
  </si>
  <si>
    <t>0660501276</t>
  </si>
  <si>
    <t>0554393246</t>
  </si>
  <si>
    <t xml:space="preserve">VOLLA </t>
  </si>
  <si>
    <t xml:space="preserve">info@caan.it </t>
  </si>
  <si>
    <t>r.fortunato@caan.it</t>
  </si>
  <si>
    <t>02550051</t>
  </si>
  <si>
    <t>0255005309</t>
  </si>
  <si>
    <t>0815777201</t>
  </si>
  <si>
    <t>0815777200</t>
  </si>
  <si>
    <t>TOTALE</t>
  </si>
  <si>
    <t>Tensione</t>
  </si>
  <si>
    <t>MT</t>
  </si>
  <si>
    <t>VERONAMERCATO S.C.P.A.</t>
  </si>
  <si>
    <t>02223440237</t>
  </si>
  <si>
    <t>VIA SOMMACAMPAGNA 63 D/E</t>
  </si>
  <si>
    <t>VERONA</t>
  </si>
  <si>
    <t>amministrazione@veronamercato.it</t>
  </si>
  <si>
    <t>Rag. Federico Cordioli</t>
  </si>
  <si>
    <t>uff.tecnico@veronamercato.it</t>
  </si>
  <si>
    <t>0458632111</t>
  </si>
  <si>
    <t>0458632112</t>
  </si>
  <si>
    <t>IT024E00213905</t>
  </si>
  <si>
    <t>VERONAMERCATO S.P.A.</t>
  </si>
  <si>
    <t>VR</t>
  </si>
  <si>
    <t>IT024E01051356</t>
  </si>
  <si>
    <t>IT024E00230325</t>
  </si>
  <si>
    <t>IT024E00230326</t>
  </si>
  <si>
    <t>BT</t>
  </si>
  <si>
    <t>VOLLA</t>
  </si>
  <si>
    <t>Totale Previsione</t>
  </si>
  <si>
    <t>IT012E12802723</t>
  </si>
  <si>
    <t>IT012E00218916</t>
  </si>
  <si>
    <t>IT002E3842216A</t>
  </si>
  <si>
    <t>IT002E4162674A</t>
  </si>
  <si>
    <t>IT002E4267453A</t>
  </si>
  <si>
    <t>Ausil. POD1 e Tronchetto</t>
  </si>
  <si>
    <t>VIA LUDOVISI</t>
  </si>
  <si>
    <t>VIA TENUTA DEL CAVALLIERE</t>
  </si>
  <si>
    <t>* STIMA</t>
  </si>
  <si>
    <t>IT012E00218406</t>
  </si>
  <si>
    <t>ex</t>
  </si>
  <si>
    <t>IT012E12842331</t>
  </si>
  <si>
    <t>Previsione</t>
  </si>
  <si>
    <t>LOTTO 1</t>
  </si>
  <si>
    <t>LOTTO 2</t>
  </si>
  <si>
    <t>Previsione 2018</t>
  </si>
  <si>
    <t>Periodo lotto 1</t>
  </si>
  <si>
    <t>C.A.A.T. S.C.P.A.</t>
  </si>
  <si>
    <t>IT001E04164603</t>
  </si>
  <si>
    <t>IT001E04164599</t>
  </si>
  <si>
    <t>IT001E00001010</t>
  </si>
  <si>
    <t>IT001E00000901</t>
  </si>
  <si>
    <t>IT001E00000899</t>
  </si>
  <si>
    <t>IT001E00000897</t>
  </si>
  <si>
    <t>IT001E00001269</t>
  </si>
  <si>
    <t>IT001E00001018</t>
  </si>
  <si>
    <t>IT001E00000932</t>
  </si>
  <si>
    <t>IT001E00000933</t>
  </si>
  <si>
    <t>IT001E00642033</t>
  </si>
  <si>
    <t>IT001E00642138</t>
  </si>
  <si>
    <t>STRADA DEL PORTONE, 10</t>
  </si>
  <si>
    <t>GRUGLIASCO</t>
  </si>
  <si>
    <t>TO</t>
  </si>
  <si>
    <t>2 e 21-23</t>
  </si>
  <si>
    <t>3</t>
  </si>
  <si>
    <t>4-16</t>
  </si>
  <si>
    <t>17-20</t>
  </si>
  <si>
    <t>24-35</t>
  </si>
  <si>
    <t>05841010019</t>
  </si>
  <si>
    <t>Torino</t>
  </si>
  <si>
    <t>caat@caat.it</t>
  </si>
  <si>
    <t>011 349 68 10</t>
  </si>
  <si>
    <t>011 349 54 25</t>
  </si>
  <si>
    <t>CENTRO AGROALIMENTARE DI NAPOLI S.C.P.A.</t>
  </si>
  <si>
    <t>C.A.R   S.C.P.A.</t>
  </si>
  <si>
    <t>MERCAFIR  S.C.P.A.</t>
  </si>
  <si>
    <t>SO.GE.MI.    S.P.A.</t>
  </si>
  <si>
    <t>IT001E00260123</t>
  </si>
  <si>
    <t>IT001E02093973</t>
  </si>
  <si>
    <t>IT001E02104842</t>
  </si>
  <si>
    <t>S.G.M. S.C.P.A.</t>
  </si>
  <si>
    <t>GE</t>
  </si>
  <si>
    <t>GENOVA</t>
  </si>
  <si>
    <t>VIA SARDORELLA, 10</t>
  </si>
  <si>
    <t>SOCIETA' GESTIONE MERCATO S.C.P.A.</t>
  </si>
  <si>
    <t>01731200992</t>
  </si>
  <si>
    <t>VIA SARDORELLA 10/R</t>
  </si>
  <si>
    <t>TORINO</t>
  </si>
  <si>
    <t>36-38</t>
  </si>
  <si>
    <t>Periodo lotto 2</t>
  </si>
  <si>
    <t>Del. 181/06</t>
  </si>
  <si>
    <r>
      <t xml:space="preserve">Periodo di fornitura </t>
    </r>
    <r>
      <rPr>
        <sz val="11"/>
        <color rgb="FFFF0000"/>
        <rFont val="Calibri"/>
        <family val="2"/>
      </rPr>
      <t>Lotto 1</t>
    </r>
  </si>
  <si>
    <r>
      <t>Periodo di fornitura</t>
    </r>
    <r>
      <rPr>
        <sz val="11"/>
        <color rgb="FFFF0000"/>
        <rFont val="Calibri"/>
        <family val="2"/>
      </rPr>
      <t xml:space="preserve"> Lotto 2</t>
    </r>
  </si>
  <si>
    <t>Lotto 1</t>
  </si>
  <si>
    <t>Lotto 2</t>
  </si>
  <si>
    <t>Lotti</t>
  </si>
  <si>
    <t>ITALMERCATI  (CENTRO AGROALIMENTARE DI NAPOLI S.C.P.A., C.A.R.   S.C.P.A., MERCAFIR  S.C.P.A., SO.GE.MI. S.P.A., VERONA MERCATO, C.A.A.T. S.C.P.A., S.G.M S.C.P.A.)</t>
  </si>
  <si>
    <t xml:space="preserve">Egea (Mercafir) - Egea (CAR) - AGSM (CAAT)
AGSM (CAN) - Egea (Sogemi) - Egea (Verona) - Egea (Genova)  </t>
  </si>
  <si>
    <t>ghiano@caat.it, logiudice@caat.it</t>
  </si>
  <si>
    <t>Dott.ssa Erika Ghiano</t>
  </si>
  <si>
    <t>Ing. Marco Lazzarino</t>
  </si>
  <si>
    <t>Dott. Cesare Ferrero</t>
  </si>
  <si>
    <t>Dott. Gabriele Ruggeri</t>
  </si>
  <si>
    <t>gabriele.ruggeri@mercatimilano.it</t>
  </si>
  <si>
    <t>Dott.ssa Rossella Fortunato</t>
  </si>
  <si>
    <t>Dott. Carmine Giordano</t>
  </si>
  <si>
    <t>Dott. Valter Giammaria</t>
  </si>
  <si>
    <t>Dott.ssa Nadia Duro</t>
  </si>
  <si>
    <t>Dott.ssa Donella Fantechi</t>
  </si>
  <si>
    <t>Dott. Giacomo Lucibello</t>
  </si>
  <si>
    <t>Dott. Paolo Merci</t>
  </si>
  <si>
    <t>ghigliotti@mercatogenova.it</t>
  </si>
  <si>
    <t>Dott.ssa Luisa Ghigliotti</t>
  </si>
  <si>
    <t>0108607953</t>
  </si>
  <si>
    <t>0108681300</t>
  </si>
  <si>
    <t>Dott. Stefano Franciolini</t>
  </si>
  <si>
    <t>testini@mercatogenova.it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</si>
</sst>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-410]General"/>
    <numFmt numFmtId="166" formatCode="[$€]&quot; &quot;#,##0.00&quot; &quot;;&quot;-&quot;[$€]&quot; &quot;#,##0.00&quot; &quot;;[$€]&quot; -&quot;#&quot; &quot;;@&quot; &quot;"/>
    <numFmt numFmtId="167" formatCode="[$-410]0%"/>
    <numFmt numFmtId="168" formatCode="#,##0&quot; &quot;;&quot;-&quot;#,##0&quot; &quot;;&quot; - &quot;;@&quot; &quot;"/>
    <numFmt numFmtId="169" formatCode="#,##0.00&quot; &quot;;&quot;-&quot;#,##0.00&quot; &quot;;&quot; -&quot;#&quot; &quot;;@&quot; &quot;"/>
    <numFmt numFmtId="170" formatCode="[$€-410]&quot; &quot;#,##0.00;[Red]&quot;-&quot;[$€-410]&quot; &quot;#,##0.00"/>
    <numFmt numFmtId="171" formatCode="_-* #,##0.000_-;\-* #,##0.000_-;_-* &quot;-&quot;??_-;_-@_-"/>
    <numFmt numFmtId="172" formatCode="_-* #,##0_-;\-* #,##0_-;_-* &quot;-&quot;??_-;_-@_-"/>
  </numFmts>
  <fonts count="4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u/>
      <sz val="10"/>
      <color rgb="FF0000FF"/>
      <name val="Arial"/>
      <family val="2"/>
    </font>
    <font>
      <u/>
      <sz val="8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000000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1"/>
      <color rgb="FF000000"/>
      <name val="Calibri1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3">
    <xf numFmtId="0" fontId="0" fillId="0" borderId="0"/>
    <xf numFmtId="165" fontId="7" fillId="0" borderId="0"/>
    <xf numFmtId="165" fontId="6" fillId="2" borderId="0"/>
    <xf numFmtId="165" fontId="6" fillId="3" borderId="0"/>
    <xf numFmtId="165" fontId="6" fillId="4" borderId="0"/>
    <xf numFmtId="165" fontId="6" fillId="5" borderId="0"/>
    <xf numFmtId="165" fontId="6" fillId="6" borderId="0"/>
    <xf numFmtId="165" fontId="6" fillId="7" borderId="0"/>
    <xf numFmtId="165" fontId="6" fillId="8" borderId="0"/>
    <xf numFmtId="165" fontId="6" fillId="9" borderId="0"/>
    <xf numFmtId="165" fontId="6" fillId="10" borderId="0"/>
    <xf numFmtId="165" fontId="6" fillId="5" borderId="0"/>
    <xf numFmtId="165" fontId="6" fillId="8" borderId="0"/>
    <xf numFmtId="165" fontId="6" fillId="11" borderId="0"/>
    <xf numFmtId="165" fontId="8" fillId="12" borderId="0"/>
    <xf numFmtId="165" fontId="8" fillId="9" borderId="0"/>
    <xf numFmtId="165" fontId="8" fillId="10" borderId="0"/>
    <xf numFmtId="165" fontId="8" fillId="13" borderId="0"/>
    <xf numFmtId="165" fontId="8" fillId="14" borderId="0"/>
    <xf numFmtId="165" fontId="8" fillId="15" borderId="0"/>
    <xf numFmtId="165" fontId="9" fillId="16" borderId="1"/>
    <xf numFmtId="165" fontId="10" fillId="0" borderId="2"/>
    <xf numFmtId="165" fontId="11" fillId="17" borderId="3"/>
    <xf numFmtId="165" fontId="12" fillId="0" borderId="0"/>
    <xf numFmtId="165" fontId="12" fillId="0" borderId="0"/>
    <xf numFmtId="165" fontId="13" fillId="0" borderId="0"/>
    <xf numFmtId="165" fontId="13" fillId="0" borderId="0"/>
    <xf numFmtId="165" fontId="12" fillId="0" borderId="0"/>
    <xf numFmtId="165" fontId="8" fillId="18" borderId="0"/>
    <xf numFmtId="165" fontId="8" fillId="19" borderId="0"/>
    <xf numFmtId="165" fontId="8" fillId="20" borderId="0"/>
    <xf numFmtId="165" fontId="8" fillId="13" borderId="0"/>
    <xf numFmtId="165" fontId="8" fillId="14" borderId="0"/>
    <xf numFmtId="165" fontId="8" fillId="21" borderId="0"/>
    <xf numFmtId="166" fontId="6" fillId="0" borderId="0"/>
    <xf numFmtId="166" fontId="7" fillId="0" borderId="0"/>
    <xf numFmtId="165" fontId="6" fillId="0" borderId="0"/>
    <xf numFmtId="167" fontId="6" fillId="0" borderId="0"/>
    <xf numFmtId="0" fontId="14" fillId="0" borderId="0">
      <alignment horizontal="center"/>
    </xf>
    <xf numFmtId="0" fontId="14" fillId="0" borderId="0">
      <alignment horizontal="center" textRotation="90"/>
    </xf>
    <xf numFmtId="165" fontId="15" fillId="7" borderId="1"/>
    <xf numFmtId="168" fontId="6" fillId="0" borderId="0"/>
    <xf numFmtId="168" fontId="7" fillId="0" borderId="0"/>
    <xf numFmtId="169" fontId="7" fillId="0" borderId="0"/>
    <xf numFmtId="169" fontId="7" fillId="0" borderId="0"/>
    <xf numFmtId="165" fontId="16" fillId="22" borderId="0"/>
    <xf numFmtId="165" fontId="6" fillId="0" borderId="0"/>
    <xf numFmtId="165" fontId="6" fillId="0" borderId="0"/>
    <xf numFmtId="165" fontId="7" fillId="0" borderId="0"/>
    <xf numFmtId="165" fontId="6" fillId="0" borderId="0"/>
    <xf numFmtId="165" fontId="17" fillId="0" borderId="0"/>
    <xf numFmtId="165" fontId="7" fillId="23" borderId="4"/>
    <xf numFmtId="165" fontId="18" fillId="16" borderId="5"/>
    <xf numFmtId="0" fontId="19" fillId="0" borderId="0"/>
    <xf numFmtId="170" fontId="19" fillId="0" borderId="0"/>
    <xf numFmtId="165" fontId="20" fillId="0" borderId="0"/>
    <xf numFmtId="165" fontId="21" fillId="0" borderId="0"/>
    <xf numFmtId="165" fontId="22" fillId="0" borderId="6"/>
    <xf numFmtId="165" fontId="23" fillId="0" borderId="7"/>
    <xf numFmtId="165" fontId="24" fillId="0" borderId="8"/>
    <xf numFmtId="165" fontId="24" fillId="0" borderId="0"/>
    <xf numFmtId="165" fontId="25" fillId="0" borderId="0"/>
    <xf numFmtId="165" fontId="26" fillId="0" borderId="9"/>
    <xf numFmtId="165" fontId="27" fillId="3" borderId="0"/>
    <xf numFmtId="165" fontId="28" fillId="4" borderId="0"/>
    <xf numFmtId="0" fontId="32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0">
    <xf numFmtId="0" fontId="0" fillId="0" borderId="0" xfId="0"/>
    <xf numFmtId="165" fontId="6" fillId="0" borderId="0" xfId="36"/>
    <xf numFmtId="165" fontId="31" fillId="0" borderId="0" xfId="36" applyFont="1"/>
    <xf numFmtId="49" fontId="6" fillId="0" borderId="0" xfId="36" applyNumberFormat="1"/>
    <xf numFmtId="49" fontId="0" fillId="0" borderId="0" xfId="0" applyNumberFormat="1"/>
    <xf numFmtId="3" fontId="33" fillId="0" borderId="0" xfId="36" applyNumberFormat="1" applyFont="1" applyFill="1" applyBorder="1"/>
    <xf numFmtId="3" fontId="6" fillId="0" borderId="0" xfId="36" applyNumberFormat="1" applyFill="1" applyBorder="1"/>
    <xf numFmtId="165" fontId="6" fillId="0" borderId="10" xfId="36" applyBorder="1"/>
    <xf numFmtId="165" fontId="33" fillId="0" borderId="10" xfId="36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71" fontId="0" fillId="0" borderId="15" xfId="0" applyNumberFormat="1" applyBorder="1"/>
    <xf numFmtId="0" fontId="0" fillId="0" borderId="16" xfId="0" applyBorder="1"/>
    <xf numFmtId="164" fontId="0" fillId="0" borderId="10" xfId="67" applyFont="1" applyBorder="1"/>
    <xf numFmtId="164" fontId="0" fillId="0" borderId="15" xfId="67" applyFont="1" applyBorder="1"/>
    <xf numFmtId="0" fontId="0" fillId="0" borderId="19" xfId="0" applyBorder="1"/>
    <xf numFmtId="164" fontId="0" fillId="0" borderId="12" xfId="67" applyFont="1" applyBorder="1"/>
    <xf numFmtId="164" fontId="0" fillId="0" borderId="13" xfId="67" applyFont="1" applyBorder="1"/>
    <xf numFmtId="164" fontId="0" fillId="0" borderId="20" xfId="67" applyFont="1" applyBorder="1"/>
    <xf numFmtId="164" fontId="0" fillId="0" borderId="21" xfId="67" applyFont="1" applyBorder="1"/>
    <xf numFmtId="0" fontId="0" fillId="0" borderId="20" xfId="0" applyBorder="1"/>
    <xf numFmtId="0" fontId="0" fillId="0" borderId="11" xfId="0" applyFill="1" applyBorder="1"/>
    <xf numFmtId="0" fontId="0" fillId="0" borderId="19" xfId="0" applyFill="1" applyBorder="1"/>
    <xf numFmtId="164" fontId="0" fillId="0" borderId="15" xfId="67" applyNumberFormat="1" applyFont="1" applyBorder="1"/>
    <xf numFmtId="164" fontId="0" fillId="0" borderId="0" xfId="67" applyFont="1" applyFill="1" applyBorder="1"/>
    <xf numFmtId="164" fontId="0" fillId="24" borderId="12" xfId="67" applyFont="1" applyFill="1" applyBorder="1"/>
    <xf numFmtId="0" fontId="0" fillId="24" borderId="12" xfId="0" applyFill="1" applyBorder="1"/>
    <xf numFmtId="164" fontId="0" fillId="0" borderId="20" xfId="67" applyFont="1" applyFill="1" applyBorder="1"/>
    <xf numFmtId="0" fontId="0" fillId="0" borderId="0" xfId="0" applyFill="1"/>
    <xf numFmtId="165" fontId="29" fillId="0" borderId="10" xfId="50" applyFont="1" applyFill="1" applyBorder="1" applyAlignment="1">
      <alignment horizontal="left"/>
    </xf>
    <xf numFmtId="49" fontId="29" fillId="0" borderId="10" xfId="50" applyNumberFormat="1" applyFont="1" applyFill="1" applyBorder="1" applyAlignment="1">
      <alignment horizontal="left"/>
    </xf>
    <xf numFmtId="165" fontId="6" fillId="0" borderId="0" xfId="36" applyAlignment="1">
      <alignment horizontal="right"/>
    </xf>
    <xf numFmtId="0" fontId="0" fillId="0" borderId="0" xfId="0" applyAlignment="1">
      <alignment horizontal="right"/>
    </xf>
    <xf numFmtId="165" fontId="6" fillId="25" borderId="10" xfId="36" applyFill="1" applyBorder="1" applyAlignment="1">
      <alignment horizontal="right"/>
    </xf>
    <xf numFmtId="165" fontId="33" fillId="0" borderId="10" xfId="36" applyFont="1" applyBorder="1"/>
    <xf numFmtId="164" fontId="0" fillId="24" borderId="10" xfId="67" applyFont="1" applyFill="1" applyBorder="1"/>
    <xf numFmtId="0" fontId="0" fillId="24" borderId="22" xfId="0" applyFill="1" applyBorder="1"/>
    <xf numFmtId="165" fontId="6" fillId="25" borderId="10" xfId="36" applyFill="1" applyBorder="1"/>
    <xf numFmtId="165" fontId="6" fillId="0" borderId="10" xfId="36" applyBorder="1" applyAlignment="1">
      <alignment wrapText="1"/>
    </xf>
    <xf numFmtId="3" fontId="6" fillId="0" borderId="10" xfId="36" applyNumberFormat="1" applyFill="1" applyBorder="1"/>
    <xf numFmtId="3" fontId="33" fillId="0" borderId="10" xfId="36" applyNumberFormat="1" applyFont="1" applyBorder="1"/>
    <xf numFmtId="165" fontId="6" fillId="0" borderId="10" xfId="36" applyFill="1" applyBorder="1"/>
    <xf numFmtId="165" fontId="34" fillId="0" borderId="11" xfId="36" applyFont="1" applyFill="1" applyBorder="1" applyAlignment="1">
      <alignment horizontal="left"/>
    </xf>
    <xf numFmtId="165" fontId="34" fillId="0" borderId="12" xfId="36" applyFont="1" applyFill="1" applyBorder="1"/>
    <xf numFmtId="165" fontId="34" fillId="0" borderId="12" xfId="36" applyFont="1" applyFill="1" applyBorder="1" applyAlignment="1">
      <alignment horizontal="left"/>
    </xf>
    <xf numFmtId="165" fontId="34" fillId="0" borderId="13" xfId="36" applyFont="1" applyFill="1" applyBorder="1"/>
    <xf numFmtId="165" fontId="6" fillId="0" borderId="14" xfId="36" applyFill="1" applyBorder="1"/>
    <xf numFmtId="165" fontId="33" fillId="0" borderId="14" xfId="36" applyFont="1" applyBorder="1"/>
    <xf numFmtId="165" fontId="33" fillId="0" borderId="19" xfId="36" applyFont="1" applyBorder="1"/>
    <xf numFmtId="10" fontId="6" fillId="0" borderId="20" xfId="36" applyNumberFormat="1" applyBorder="1"/>
    <xf numFmtId="165" fontId="33" fillId="0" borderId="20" xfId="36" applyFont="1" applyBorder="1"/>
    <xf numFmtId="10" fontId="5" fillId="0" borderId="21" xfId="0" applyNumberFormat="1" applyFont="1" applyBorder="1"/>
    <xf numFmtId="165" fontId="6" fillId="0" borderId="14" xfId="36" applyBorder="1"/>
    <xf numFmtId="165" fontId="33" fillId="0" borderId="14" xfId="36" applyFont="1" applyFill="1" applyBorder="1"/>
    <xf numFmtId="165" fontId="33" fillId="0" borderId="19" xfId="36" applyFont="1" applyFill="1" applyBorder="1"/>
    <xf numFmtId="165" fontId="34" fillId="0" borderId="0" xfId="36" applyFont="1" applyBorder="1" applyAlignment="1"/>
    <xf numFmtId="167" fontId="33" fillId="0" borderId="0" xfId="37" applyFont="1" applyFill="1" applyBorder="1" applyAlignment="1" applyProtection="1"/>
    <xf numFmtId="165" fontId="33" fillId="0" borderId="0" xfId="36" applyFont="1" applyFill="1" applyBorder="1" applyAlignment="1"/>
    <xf numFmtId="0" fontId="33" fillId="0" borderId="0" xfId="37" applyNumberFormat="1" applyFont="1" applyFill="1" applyBorder="1" applyAlignment="1" applyProtection="1"/>
    <xf numFmtId="14" fontId="33" fillId="0" borderId="0" xfId="37" applyNumberFormat="1" applyFont="1" applyFill="1" applyBorder="1" applyAlignment="1" applyProtection="1"/>
    <xf numFmtId="165" fontId="34" fillId="0" borderId="10" xfId="36" applyFont="1" applyFill="1" applyBorder="1" applyAlignment="1">
      <alignment horizontal="left"/>
    </xf>
    <xf numFmtId="165" fontId="34" fillId="0" borderId="10" xfId="36" applyFont="1" applyFill="1" applyBorder="1"/>
    <xf numFmtId="9" fontId="0" fillId="0" borderId="10" xfId="68" applyFont="1" applyBorder="1"/>
    <xf numFmtId="0" fontId="0" fillId="0" borderId="23" xfId="0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43" fontId="6" fillId="0" borderId="10" xfId="66" applyFont="1" applyFill="1" applyBorder="1"/>
    <xf numFmtId="43" fontId="33" fillId="0" borderId="10" xfId="66" applyFont="1" applyBorder="1"/>
    <xf numFmtId="43" fontId="0" fillId="0" borderId="15" xfId="66" applyFont="1" applyBorder="1"/>
    <xf numFmtId="172" fontId="6" fillId="0" borderId="10" xfId="66" applyNumberFormat="1" applyFont="1" applyFill="1" applyBorder="1"/>
    <xf numFmtId="172" fontId="33" fillId="0" borderId="10" xfId="66" applyNumberFormat="1" applyFont="1" applyFill="1" applyBorder="1"/>
    <xf numFmtId="172" fontId="33" fillId="0" borderId="10" xfId="66" applyNumberFormat="1" applyFont="1" applyBorder="1"/>
    <xf numFmtId="164" fontId="0" fillId="0" borderId="12" xfId="67" applyFont="1" applyFill="1" applyBorder="1"/>
    <xf numFmtId="0" fontId="0" fillId="0" borderId="20" xfId="0" applyNumberFormat="1" applyBorder="1"/>
    <xf numFmtId="0" fontId="0" fillId="0" borderId="21" xfId="0" applyNumberFormat="1" applyBorder="1"/>
    <xf numFmtId="0" fontId="0" fillId="24" borderId="21" xfId="0" applyFill="1" applyBorder="1"/>
    <xf numFmtId="0" fontId="0" fillId="24" borderId="20" xfId="0" applyFill="1" applyBorder="1"/>
    <xf numFmtId="165" fontId="6" fillId="0" borderId="10" xfId="36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0" xfId="0" applyBorder="1"/>
    <xf numFmtId="0" fontId="0" fillId="0" borderId="12" xfId="0" applyFill="1" applyBorder="1"/>
    <xf numFmtId="0" fontId="0" fillId="0" borderId="13" xfId="0" applyFill="1" applyBorder="1"/>
    <xf numFmtId="0" fontId="0" fillId="0" borderId="20" xfId="0" applyBorder="1"/>
    <xf numFmtId="0" fontId="0" fillId="0" borderId="19" xfId="0" applyFill="1" applyBorder="1"/>
    <xf numFmtId="0" fontId="0" fillId="24" borderId="10" xfId="0" applyFill="1" applyBorder="1"/>
    <xf numFmtId="0" fontId="0" fillId="24" borderId="15" xfId="0" applyFill="1" applyBorder="1"/>
    <xf numFmtId="0" fontId="0" fillId="0" borderId="25" xfId="0" applyBorder="1" applyAlignment="1">
      <alignment horizontal="right"/>
    </xf>
    <xf numFmtId="165" fontId="33" fillId="0" borderId="0" xfId="36" applyFont="1" applyBorder="1"/>
    <xf numFmtId="10" fontId="6" fillId="0" borderId="0" xfId="36" applyNumberFormat="1" applyBorder="1"/>
    <xf numFmtId="10" fontId="5" fillId="0" borderId="0" xfId="0" applyNumberFormat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2" xfId="0" applyBorder="1" applyAlignment="1"/>
    <xf numFmtId="14" fontId="0" fillId="0" borderId="17" xfId="0" applyNumberFormat="1" applyBorder="1"/>
    <xf numFmtId="172" fontId="0" fillId="0" borderId="10" xfId="66" applyNumberFormat="1" applyFont="1" applyBorder="1"/>
    <xf numFmtId="172" fontId="0" fillId="0" borderId="15" xfId="0" applyNumberFormat="1" applyBorder="1"/>
    <xf numFmtId="172" fontId="0" fillId="0" borderId="17" xfId="68" applyNumberFormat="1" applyFont="1" applyBorder="1"/>
    <xf numFmtId="172" fontId="0" fillId="0" borderId="18" xfId="0" applyNumberFormat="1" applyBorder="1"/>
    <xf numFmtId="165" fontId="6" fillId="25" borderId="10" xfId="36" applyFill="1" applyBorder="1" applyAlignment="1">
      <alignment horizontal="left"/>
    </xf>
    <xf numFmtId="165" fontId="33" fillId="0" borderId="10" xfId="36" applyFont="1" applyFill="1" applyBorder="1" applyAlignment="1"/>
    <xf numFmtId="165" fontId="34" fillId="0" borderId="10" xfId="36" applyFont="1" applyBorder="1" applyAlignment="1">
      <alignment horizontal="center"/>
    </xf>
    <xf numFmtId="0" fontId="33" fillId="0" borderId="10" xfId="37" applyNumberFormat="1" applyFont="1" applyFill="1" applyBorder="1" applyAlignment="1" applyProtection="1"/>
    <xf numFmtId="167" fontId="33" fillId="0" borderId="10" xfId="37" applyFont="1" applyFill="1" applyBorder="1" applyAlignment="1" applyProtection="1"/>
    <xf numFmtId="0" fontId="33" fillId="0" borderId="10" xfId="37" applyNumberFormat="1" applyFont="1" applyFill="1" applyBorder="1" applyAlignment="1" applyProtection="1">
      <alignment horizontal="left"/>
    </xf>
    <xf numFmtId="14" fontId="33" fillId="0" borderId="10" xfId="37" applyNumberFormat="1" applyFont="1" applyFill="1" applyBorder="1" applyAlignment="1" applyProtection="1"/>
    <xf numFmtId="165" fontId="33" fillId="0" borderId="10" xfId="36" applyFont="1" applyFill="1" applyBorder="1" applyAlignment="1">
      <alignment horizontal="left"/>
    </xf>
    <xf numFmtId="165" fontId="33" fillId="0" borderId="10" xfId="36" applyFont="1" applyFill="1" applyBorder="1" applyAlignment="1">
      <alignment wrapText="1"/>
    </xf>
    <xf numFmtId="3" fontId="33" fillId="0" borderId="0" xfId="36" applyNumberFormat="1" applyFont="1" applyBorder="1"/>
    <xf numFmtId="3" fontId="4" fillId="0" borderId="0" xfId="0" applyNumberFormat="1" applyFont="1" applyBorder="1"/>
    <xf numFmtId="165" fontId="34" fillId="0" borderId="0" xfId="36" applyFont="1" applyFill="1" applyBorder="1" applyAlignment="1">
      <alignment horizontal="left"/>
    </xf>
    <xf numFmtId="3" fontId="0" fillId="0" borderId="0" xfId="0" applyNumberFormat="1"/>
    <xf numFmtId="0" fontId="36" fillId="25" borderId="0" xfId="0" applyFont="1" applyFill="1"/>
    <xf numFmtId="172" fontId="4" fillId="0" borderId="10" xfId="69" applyNumberFormat="1" applyFont="1" applyFill="1" applyBorder="1"/>
    <xf numFmtId="3" fontId="33" fillId="0" borderId="10" xfId="36" applyNumberFormat="1" applyFont="1" applyFill="1" applyBorder="1"/>
    <xf numFmtId="172" fontId="4" fillId="0" borderId="10" xfId="70" applyNumberFormat="1" applyFont="1" applyFill="1" applyBorder="1"/>
    <xf numFmtId="3" fontId="37" fillId="0" borderId="10" xfId="36" applyNumberFormat="1" applyFont="1" applyFill="1" applyBorder="1"/>
    <xf numFmtId="172" fontId="4" fillId="0" borderId="10" xfId="71" applyNumberFormat="1" applyFont="1" applyFill="1" applyBorder="1"/>
    <xf numFmtId="172" fontId="4" fillId="0" borderId="10" xfId="72" applyNumberFormat="1" applyFont="1" applyFill="1" applyBorder="1"/>
    <xf numFmtId="172" fontId="4" fillId="0" borderId="10" xfId="73" applyNumberFormat="1" applyFont="1" applyFill="1" applyBorder="1"/>
    <xf numFmtId="3" fontId="4" fillId="0" borderId="10" xfId="74" applyNumberFormat="1" applyBorder="1"/>
    <xf numFmtId="3" fontId="4" fillId="0" borderId="10" xfId="0" applyNumberFormat="1" applyFont="1" applyBorder="1"/>
    <xf numFmtId="49" fontId="6" fillId="25" borderId="10" xfId="36" applyNumberFormat="1" applyFill="1" applyBorder="1" applyAlignment="1">
      <alignment horizontal="right"/>
    </xf>
    <xf numFmtId="14" fontId="33" fillId="0" borderId="10" xfId="36" applyNumberFormat="1" applyFont="1" applyFill="1" applyBorder="1" applyAlignment="1">
      <alignment horizontal="left"/>
    </xf>
    <xf numFmtId="165" fontId="31" fillId="0" borderId="10" xfId="36" applyFont="1" applyFill="1" applyBorder="1" applyAlignment="1"/>
    <xf numFmtId="165" fontId="31" fillId="0" borderId="10" xfId="36" applyFont="1" applyFill="1" applyBorder="1"/>
    <xf numFmtId="165" fontId="33" fillId="0" borderId="24" xfId="36" applyFont="1" applyFill="1" applyBorder="1" applyAlignment="1"/>
    <xf numFmtId="165" fontId="33" fillId="0" borderId="22" xfId="36" applyFont="1" applyFill="1" applyBorder="1" applyAlignment="1"/>
    <xf numFmtId="0" fontId="33" fillId="0" borderId="24" xfId="36" applyNumberFormat="1" applyFont="1" applyFill="1" applyBorder="1" applyAlignment="1"/>
    <xf numFmtId="0" fontId="33" fillId="0" borderId="22" xfId="36" applyNumberFormat="1" applyFont="1" applyFill="1" applyBorder="1" applyAlignment="1"/>
    <xf numFmtId="165" fontId="33" fillId="0" borderId="10" xfId="36" applyFont="1" applyFill="1" applyBorder="1" applyAlignment="1"/>
    <xf numFmtId="165" fontId="30" fillId="0" borderId="10" xfId="36" applyFont="1" applyFill="1" applyBorder="1" applyAlignment="1">
      <alignment horizontal="left"/>
    </xf>
    <xf numFmtId="165" fontId="6" fillId="0" borderId="10" xfId="36" quotePrefix="1" applyFill="1" applyBorder="1" applyAlignment="1">
      <alignment horizontal="left"/>
    </xf>
    <xf numFmtId="165" fontId="30" fillId="0" borderId="10" xfId="36" quotePrefix="1" applyFont="1" applyFill="1" applyBorder="1" applyAlignment="1">
      <alignment horizontal="left"/>
    </xf>
    <xf numFmtId="165" fontId="32" fillId="0" borderId="10" xfId="65" applyNumberFormat="1" applyFill="1" applyBorder="1" applyAlignment="1">
      <alignment horizontal="left"/>
    </xf>
    <xf numFmtId="49" fontId="6" fillId="0" borderId="10" xfId="36" applyNumberFormat="1" applyFill="1" applyBorder="1" applyAlignment="1">
      <alignment horizontal="left"/>
    </xf>
    <xf numFmtId="3" fontId="6" fillId="0" borderId="10" xfId="36" applyNumberFormat="1" applyFill="1" applyBorder="1" applyAlignment="1">
      <alignment horizontal="right" vertical="center"/>
    </xf>
    <xf numFmtId="3" fontId="33" fillId="0" borderId="10" xfId="36" applyNumberFormat="1" applyFont="1" applyFill="1" applyBorder="1" applyAlignment="1">
      <alignment horizontal="right" vertical="center"/>
    </xf>
    <xf numFmtId="172" fontId="2" fillId="0" borderId="10" xfId="69" applyNumberFormat="1" applyFont="1" applyFill="1" applyBorder="1"/>
    <xf numFmtId="172" fontId="2" fillId="0" borderId="10" xfId="70" applyNumberFormat="1" applyFont="1" applyFill="1" applyBorder="1"/>
    <xf numFmtId="165" fontId="33" fillId="0" borderId="36" xfId="36" applyFont="1" applyBorder="1" applyAlignment="1">
      <alignment horizontal="center"/>
    </xf>
    <xf numFmtId="165" fontId="6" fillId="0" borderId="36" xfId="36" applyBorder="1"/>
    <xf numFmtId="165" fontId="33" fillId="0" borderId="36" xfId="36" applyFont="1" applyFill="1" applyBorder="1"/>
    <xf numFmtId="165" fontId="34" fillId="0" borderId="10" xfId="36" applyFont="1" applyBorder="1"/>
    <xf numFmtId="165" fontId="33" fillId="0" borderId="0" xfId="36" applyFont="1" applyFill="1" applyBorder="1"/>
    <xf numFmtId="10" fontId="6" fillId="0" borderId="0" xfId="36" applyNumberFormat="1" applyFill="1" applyBorder="1"/>
    <xf numFmtId="10" fontId="5" fillId="0" borderId="0" xfId="0" applyNumberFormat="1" applyFont="1" applyFill="1" applyBorder="1"/>
    <xf numFmtId="0" fontId="36" fillId="0" borderId="25" xfId="0" applyFont="1" applyBorder="1"/>
    <xf numFmtId="165" fontId="34" fillId="0" borderId="23" xfId="36" applyFont="1" applyFill="1" applyBorder="1"/>
    <xf numFmtId="165" fontId="34" fillId="0" borderId="26" xfId="36" applyFont="1" applyFill="1" applyBorder="1" applyAlignment="1">
      <alignment horizontal="left"/>
    </xf>
    <xf numFmtId="165" fontId="34" fillId="0" borderId="25" xfId="36" applyFont="1" applyFill="1" applyBorder="1"/>
    <xf numFmtId="165" fontId="34" fillId="0" borderId="23" xfId="36" applyFont="1" applyFill="1" applyBorder="1" applyAlignment="1">
      <alignment horizontal="left"/>
    </xf>
    <xf numFmtId="0" fontId="36" fillId="0" borderId="23" xfId="0" applyFont="1" applyBorder="1"/>
    <xf numFmtId="172" fontId="33" fillId="0" borderId="14" xfId="66" applyNumberFormat="1" applyFont="1" applyFill="1" applyBorder="1" applyAlignment="1">
      <alignment horizontal="left"/>
    </xf>
    <xf numFmtId="172" fontId="33" fillId="0" borderId="10" xfId="66" applyNumberFormat="1" applyFont="1" applyFill="1" applyBorder="1" applyAlignment="1">
      <alignment horizontal="left"/>
    </xf>
    <xf numFmtId="172" fontId="33" fillId="0" borderId="15" xfId="66" applyNumberFormat="1" applyFont="1" applyFill="1" applyBorder="1" applyAlignment="1">
      <alignment horizontal="left"/>
    </xf>
    <xf numFmtId="172" fontId="1" fillId="0" borderId="38" xfId="73" applyNumberFormat="1" applyFont="1" applyFill="1" applyBorder="1"/>
    <xf numFmtId="3" fontId="6" fillId="0" borderId="38" xfId="36" applyNumberFormat="1" applyFill="1" applyBorder="1"/>
    <xf numFmtId="10" fontId="1" fillId="0" borderId="0" xfId="0" applyNumberFormat="1" applyFont="1" applyFill="1" applyBorder="1"/>
    <xf numFmtId="172" fontId="6" fillId="0" borderId="0" xfId="36" applyNumberFormat="1" applyFill="1" applyBorder="1"/>
    <xf numFmtId="172" fontId="5" fillId="0" borderId="0" xfId="66" applyNumberFormat="1" applyFont="1" applyBorder="1"/>
    <xf numFmtId="172" fontId="5" fillId="0" borderId="0" xfId="0" applyNumberFormat="1" applyFont="1" applyFill="1" applyBorder="1"/>
    <xf numFmtId="172" fontId="0" fillId="0" borderId="0" xfId="0" applyNumberFormat="1"/>
    <xf numFmtId="171" fontId="33" fillId="0" borderId="10" xfId="66" applyNumberFormat="1" applyFont="1" applyFill="1" applyBorder="1" applyAlignment="1">
      <alignment horizontal="left"/>
    </xf>
    <xf numFmtId="171" fontId="33" fillId="0" borderId="15" xfId="66" applyNumberFormat="1" applyFont="1" applyFill="1" applyBorder="1" applyAlignment="1">
      <alignment horizontal="left"/>
    </xf>
    <xf numFmtId="165" fontId="33" fillId="0" borderId="10" xfId="36" applyFont="1" applyFill="1" applyBorder="1" applyAlignment="1"/>
    <xf numFmtId="0" fontId="36" fillId="0" borderId="0" xfId="0" applyFont="1" applyFill="1"/>
    <xf numFmtId="165" fontId="33" fillId="0" borderId="10" xfId="36" applyFont="1" applyFill="1" applyBorder="1" applyAlignment="1"/>
    <xf numFmtId="0" fontId="0" fillId="0" borderId="15" xfId="0" applyBorder="1"/>
    <xf numFmtId="165" fontId="34" fillId="0" borderId="11" xfId="36" applyFont="1" applyFill="1" applyBorder="1"/>
    <xf numFmtId="165" fontId="0" fillId="0" borderId="39" xfId="0" applyNumberFormat="1" applyBorder="1" applyAlignment="1"/>
    <xf numFmtId="165" fontId="0" fillId="0" borderId="40" xfId="0" applyNumberFormat="1" applyBorder="1" applyAlignment="1"/>
    <xf numFmtId="165" fontId="0" fillId="0" borderId="39" xfId="0" applyNumberFormat="1" applyBorder="1" applyAlignment="1">
      <alignment horizontal="center"/>
    </xf>
    <xf numFmtId="172" fontId="33" fillId="0" borderId="10" xfId="66" applyNumberFormat="1" applyFont="1" applyFill="1" applyBorder="1" applyAlignment="1" applyProtection="1">
      <alignment horizontal="left"/>
    </xf>
    <xf numFmtId="14" fontId="0" fillId="0" borderId="0" xfId="0" applyNumberFormat="1"/>
    <xf numFmtId="0" fontId="34" fillId="0" borderId="32" xfId="37" applyNumberFormat="1" applyFont="1" applyFill="1" applyBorder="1" applyAlignment="1" applyProtection="1"/>
    <xf numFmtId="0" fontId="34" fillId="0" borderId="33" xfId="37" applyNumberFormat="1" applyFont="1" applyFill="1" applyBorder="1" applyAlignment="1" applyProtection="1"/>
    <xf numFmtId="0" fontId="34" fillId="25" borderId="0" xfId="37" applyNumberFormat="1" applyFont="1" applyFill="1" applyBorder="1" applyAlignment="1" applyProtection="1"/>
    <xf numFmtId="0" fontId="34" fillId="25" borderId="43" xfId="37" applyNumberFormat="1" applyFont="1" applyFill="1" applyBorder="1" applyAlignment="1" applyProtection="1"/>
    <xf numFmtId="0" fontId="34" fillId="0" borderId="0" xfId="37" applyNumberFormat="1" applyFont="1" applyFill="1" applyBorder="1" applyAlignment="1" applyProtection="1"/>
    <xf numFmtId="165" fontId="6" fillId="0" borderId="38" xfId="36" applyFill="1" applyBorder="1"/>
    <xf numFmtId="0" fontId="34" fillId="24" borderId="33" xfId="37" applyNumberFormat="1" applyFont="1" applyFill="1" applyBorder="1" applyAlignment="1" applyProtection="1"/>
    <xf numFmtId="165" fontId="34" fillId="0" borderId="0" xfId="36" applyFont="1" applyFill="1" applyBorder="1"/>
    <xf numFmtId="3" fontId="0" fillId="0" borderId="0" xfId="0" applyNumberFormat="1" applyFill="1"/>
    <xf numFmtId="3" fontId="36" fillId="0" borderId="13" xfId="0" applyNumberFormat="1" applyFont="1" applyBorder="1"/>
    <xf numFmtId="165" fontId="33" fillId="0" borderId="10" xfId="36" applyFont="1" applyFill="1" applyBorder="1" applyAlignment="1"/>
    <xf numFmtId="172" fontId="33" fillId="0" borderId="16" xfId="66" applyNumberFormat="1" applyFont="1" applyFill="1" applyBorder="1" applyAlignment="1">
      <alignment horizontal="left"/>
    </xf>
    <xf numFmtId="172" fontId="33" fillId="0" borderId="17" xfId="66" applyNumberFormat="1" applyFont="1" applyFill="1" applyBorder="1" applyAlignment="1">
      <alignment horizontal="left"/>
    </xf>
    <xf numFmtId="172" fontId="33" fillId="0" borderId="18" xfId="66" applyNumberFormat="1" applyFont="1" applyFill="1" applyBorder="1" applyAlignment="1">
      <alignment horizontal="left"/>
    </xf>
    <xf numFmtId="165" fontId="33" fillId="0" borderId="10" xfId="36" applyFont="1" applyFill="1" applyBorder="1" applyAlignment="1"/>
    <xf numFmtId="165" fontId="34" fillId="0" borderId="10" xfId="36" applyFont="1" applyBorder="1" applyAlignment="1">
      <alignment horizontal="center"/>
    </xf>
    <xf numFmtId="0" fontId="36" fillId="0" borderId="0" xfId="0" applyFont="1" applyFill="1" applyBorder="1"/>
    <xf numFmtId="0" fontId="0" fillId="25" borderId="0" xfId="0" applyFill="1"/>
    <xf numFmtId="165" fontId="39" fillId="0" borderId="10" xfId="36" applyFont="1" applyFill="1" applyBorder="1" applyAlignment="1">
      <alignment horizontal="left"/>
    </xf>
    <xf numFmtId="165" fontId="33" fillId="0" borderId="10" xfId="36" applyFont="1" applyFill="1" applyBorder="1" applyAlignment="1"/>
    <xf numFmtId="165" fontId="34" fillId="0" borderId="10" xfId="36" applyFont="1" applyBorder="1" applyAlignment="1">
      <alignment horizontal="center"/>
    </xf>
    <xf numFmtId="14" fontId="33" fillId="0" borderId="10" xfId="37" applyNumberFormat="1" applyFont="1" applyFill="1" applyBorder="1" applyAlignment="1" applyProtection="1">
      <alignment horizontal="right"/>
    </xf>
    <xf numFmtId="165" fontId="34" fillId="0" borderId="41" xfId="36" applyFont="1" applyFill="1" applyBorder="1" applyAlignment="1"/>
    <xf numFmtId="165" fontId="34" fillId="0" borderId="34" xfId="36" applyFont="1" applyFill="1" applyBorder="1" applyAlignment="1"/>
    <xf numFmtId="165" fontId="34" fillId="0" borderId="42" xfId="36" applyFont="1" applyFill="1" applyBorder="1" applyAlignment="1"/>
    <xf numFmtId="0" fontId="0" fillId="0" borderId="39" xfId="0" applyBorder="1" applyAlignment="1"/>
    <xf numFmtId="171" fontId="0" fillId="0" borderId="10" xfId="66" applyNumberFormat="1" applyFont="1" applyBorder="1"/>
    <xf numFmtId="165" fontId="34" fillId="0" borderId="0" xfId="36" applyFont="1" applyBorder="1" applyAlignment="1">
      <alignment horizontal="center"/>
    </xf>
    <xf numFmtId="0" fontId="34" fillId="0" borderId="43" xfId="37" applyNumberFormat="1" applyFont="1" applyFill="1" applyBorder="1" applyAlignment="1" applyProtection="1"/>
    <xf numFmtId="43" fontId="33" fillId="0" borderId="0" xfId="66" applyFont="1" applyFill="1" applyBorder="1"/>
    <xf numFmtId="0" fontId="0" fillId="0" borderId="14" xfId="0" applyFill="1" applyBorder="1"/>
    <xf numFmtId="14" fontId="0" fillId="0" borderId="17" xfId="0" applyNumberFormat="1" applyFill="1" applyBorder="1"/>
    <xf numFmtId="165" fontId="31" fillId="0" borderId="10" xfId="36" applyFont="1" applyBorder="1" applyAlignment="1">
      <alignment horizontal="center"/>
    </xf>
    <xf numFmtId="165" fontId="6" fillId="25" borderId="10" xfId="36" applyFill="1" applyBorder="1" applyAlignment="1">
      <alignment horizontal="left"/>
    </xf>
    <xf numFmtId="165" fontId="33" fillId="0" borderId="10" xfId="36" applyFont="1" applyFill="1" applyBorder="1" applyAlignment="1"/>
    <xf numFmtId="165" fontId="6" fillId="0" borderId="22" xfId="36" applyFill="1" applyBorder="1" applyAlignment="1">
      <alignment horizontal="left" wrapText="1"/>
    </xf>
    <xf numFmtId="0" fontId="0" fillId="0" borderId="24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34" fillId="0" borderId="10" xfId="36" applyFont="1" applyBorder="1" applyAlignment="1">
      <alignment horizontal="center"/>
    </xf>
    <xf numFmtId="165" fontId="34" fillId="0" borderId="44" xfId="36" applyFont="1" applyFill="1" applyBorder="1" applyAlignment="1">
      <alignment horizontal="center"/>
    </xf>
    <xf numFmtId="165" fontId="34" fillId="0" borderId="45" xfId="36" applyFont="1" applyFill="1" applyBorder="1" applyAlignment="1">
      <alignment horizontal="center"/>
    </xf>
    <xf numFmtId="165" fontId="34" fillId="0" borderId="46" xfId="36" applyFont="1" applyFill="1" applyBorder="1" applyAlignment="1">
      <alignment horizontal="center"/>
    </xf>
    <xf numFmtId="10" fontId="26" fillId="0" borderId="44" xfId="36" applyNumberFormat="1" applyFont="1" applyFill="1" applyBorder="1" applyAlignment="1">
      <alignment horizontal="center"/>
    </xf>
    <xf numFmtId="10" fontId="26" fillId="0" borderId="45" xfId="36" applyNumberFormat="1" applyFont="1" applyFill="1" applyBorder="1" applyAlignment="1">
      <alignment horizontal="center"/>
    </xf>
    <xf numFmtId="10" fontId="26" fillId="0" borderId="46" xfId="36" applyNumberFormat="1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33" fillId="0" borderId="10" xfId="37" applyNumberFormat="1" applyFont="1" applyFill="1" applyBorder="1" applyAlignment="1" applyProtection="1">
      <alignment horizontal="center"/>
    </xf>
    <xf numFmtId="0" fontId="33" fillId="0" borderId="15" xfId="37" applyNumberFormat="1" applyFont="1" applyFill="1" applyBorder="1" applyAlignment="1" applyProtection="1">
      <alignment horizontal="center"/>
    </xf>
    <xf numFmtId="14" fontId="33" fillId="0" borderId="10" xfId="37" applyNumberFormat="1" applyFont="1" applyFill="1" applyBorder="1" applyAlignment="1" applyProtection="1">
      <alignment horizontal="center"/>
    </xf>
    <xf numFmtId="14" fontId="33" fillId="0" borderId="15" xfId="37" applyNumberFormat="1" applyFont="1" applyFill="1" applyBorder="1" applyAlignment="1" applyProtection="1">
      <alignment horizontal="center"/>
    </xf>
    <xf numFmtId="14" fontId="33" fillId="0" borderId="20" xfId="37" applyNumberFormat="1" applyFont="1" applyFill="1" applyBorder="1" applyAlignment="1" applyProtection="1">
      <alignment horizontal="center"/>
    </xf>
    <xf numFmtId="14" fontId="33" fillId="0" borderId="21" xfId="37" applyNumberFormat="1" applyFont="1" applyFill="1" applyBorder="1" applyAlignment="1" applyProtection="1">
      <alignment horizontal="center"/>
    </xf>
    <xf numFmtId="165" fontId="34" fillId="0" borderId="11" xfId="36" applyFont="1" applyBorder="1" applyAlignment="1">
      <alignment horizontal="center"/>
    </xf>
    <xf numFmtId="165" fontId="34" fillId="0" borderId="12" xfId="36" applyFont="1" applyBorder="1" applyAlignment="1">
      <alignment horizontal="center"/>
    </xf>
    <xf numFmtId="165" fontId="34" fillId="0" borderId="13" xfId="36" applyFont="1" applyBorder="1" applyAlignment="1">
      <alignment horizontal="center"/>
    </xf>
    <xf numFmtId="167" fontId="33" fillId="0" borderId="10" xfId="37" applyFont="1" applyFill="1" applyBorder="1" applyAlignment="1" applyProtection="1">
      <alignment horizontal="center"/>
    </xf>
    <xf numFmtId="167" fontId="33" fillId="0" borderId="15" xfId="37" applyFont="1" applyFill="1" applyBorder="1" applyAlignment="1" applyProtection="1">
      <alignment horizontal="center"/>
    </xf>
    <xf numFmtId="165" fontId="33" fillId="0" borderId="10" xfId="36" applyFont="1" applyFill="1" applyBorder="1" applyAlignment="1">
      <alignment horizontal="center"/>
    </xf>
    <xf numFmtId="165" fontId="33" fillId="0" borderId="15" xfId="36" applyFont="1" applyFill="1" applyBorder="1" applyAlignment="1">
      <alignment horizontal="center"/>
    </xf>
    <xf numFmtId="0" fontId="33" fillId="0" borderId="22" xfId="37" applyNumberFormat="1" applyFont="1" applyFill="1" applyBorder="1" applyAlignment="1" applyProtection="1">
      <alignment horizontal="center"/>
    </xf>
    <xf numFmtId="0" fontId="33" fillId="0" borderId="27" xfId="37" applyNumberFormat="1" applyFont="1" applyFill="1" applyBorder="1" applyAlignment="1" applyProtection="1">
      <alignment horizontal="center"/>
    </xf>
    <xf numFmtId="0" fontId="33" fillId="0" borderId="28" xfId="37" applyNumberFormat="1" applyFont="1" applyFill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40" fillId="0" borderId="37" xfId="0" applyFont="1" applyBorder="1" applyAlignment="1">
      <alignment horizontal="left" wrapText="1"/>
    </xf>
    <xf numFmtId="0" fontId="40" fillId="0" borderId="34" xfId="0" applyFont="1" applyBorder="1" applyAlignment="1">
      <alignment horizontal="left" wrapText="1"/>
    </xf>
    <xf numFmtId="0" fontId="40" fillId="0" borderId="35" xfId="0" applyFont="1" applyBorder="1" applyAlignment="1">
      <alignment horizontal="left" wrapText="1"/>
    </xf>
    <xf numFmtId="3" fontId="0" fillId="0" borderId="10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14" fontId="0" fillId="0" borderId="18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14" fontId="0" fillId="0" borderId="17" xfId="0" applyNumberFormat="1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23" xfId="0" applyNumberFormat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93">
    <cellStyle name="%" xfId="1" xr:uid="{00000000-0005-0000-0000-000000000000}"/>
    <cellStyle name="20% - Colore 1 2" xfId="2" xr:uid="{00000000-0005-0000-0000-000001000000}"/>
    <cellStyle name="20% - Colore 2 2" xfId="3" xr:uid="{00000000-0005-0000-0000-000002000000}"/>
    <cellStyle name="20% - Colore 3 2" xfId="4" xr:uid="{00000000-0005-0000-0000-000003000000}"/>
    <cellStyle name="20% - Colore 4 2" xfId="5" xr:uid="{00000000-0005-0000-0000-000004000000}"/>
    <cellStyle name="20% - Colore 5 2" xfId="6" xr:uid="{00000000-0005-0000-0000-000005000000}"/>
    <cellStyle name="20% - Colore 6 2" xfId="7" xr:uid="{00000000-0005-0000-0000-000006000000}"/>
    <cellStyle name="40% - Colore 1 2" xfId="8" xr:uid="{00000000-0005-0000-0000-000007000000}"/>
    <cellStyle name="40% - Colore 2 2" xfId="9" xr:uid="{00000000-0005-0000-0000-000008000000}"/>
    <cellStyle name="40% - Colore 3 2" xfId="10" xr:uid="{00000000-0005-0000-0000-000009000000}"/>
    <cellStyle name="40% - Colore 4 2" xfId="11" xr:uid="{00000000-0005-0000-0000-00000A000000}"/>
    <cellStyle name="40% - Colore 5 2" xfId="12" xr:uid="{00000000-0005-0000-0000-00000B000000}"/>
    <cellStyle name="40% - Colore 6 2" xfId="13" xr:uid="{00000000-0005-0000-0000-00000C000000}"/>
    <cellStyle name="60% - Colore 1 2" xfId="14" xr:uid="{00000000-0005-0000-0000-00000D000000}"/>
    <cellStyle name="60% - Colore 2 2" xfId="15" xr:uid="{00000000-0005-0000-0000-00000E000000}"/>
    <cellStyle name="60% - Colore 3 2" xfId="16" xr:uid="{00000000-0005-0000-0000-00000F000000}"/>
    <cellStyle name="60% - Colore 4 2" xfId="17" xr:uid="{00000000-0005-0000-0000-000010000000}"/>
    <cellStyle name="60% - Colore 5 2" xfId="18" xr:uid="{00000000-0005-0000-0000-000011000000}"/>
    <cellStyle name="60% - Colore 6 2" xfId="19" xr:uid="{00000000-0005-0000-0000-000012000000}"/>
    <cellStyle name="Calcolo 2" xfId="20" xr:uid="{00000000-0005-0000-0000-000013000000}"/>
    <cellStyle name="Cella collegata 2" xfId="21" xr:uid="{00000000-0005-0000-0000-000014000000}"/>
    <cellStyle name="Cella da controllare 2" xfId="22" xr:uid="{00000000-0005-0000-0000-000015000000}"/>
    <cellStyle name="Collegamento ipertestuale" xfId="65" builtinId="8"/>
    <cellStyle name="Collegamento ipertestuale 2" xfId="23" xr:uid="{00000000-0005-0000-0000-000016000000}"/>
    <cellStyle name="Collegamento ipertestuale 2 2" xfId="24" xr:uid="{00000000-0005-0000-0000-000017000000}"/>
    <cellStyle name="Collegamento ipertestuale 3" xfId="25" xr:uid="{00000000-0005-0000-0000-000018000000}"/>
    <cellStyle name="Collegamento ipertestuale 3 2" xfId="26" xr:uid="{00000000-0005-0000-0000-000019000000}"/>
    <cellStyle name="Collegamento ipertestuale 4" xfId="27" xr:uid="{00000000-0005-0000-0000-00001A000000}"/>
    <cellStyle name="Colore 1 2" xfId="28" xr:uid="{00000000-0005-0000-0000-00001B000000}"/>
    <cellStyle name="Colore 2 2" xfId="29" xr:uid="{00000000-0005-0000-0000-00001C000000}"/>
    <cellStyle name="Colore 3 2" xfId="30" xr:uid="{00000000-0005-0000-0000-00001D000000}"/>
    <cellStyle name="Colore 4 2" xfId="31" xr:uid="{00000000-0005-0000-0000-00001E000000}"/>
    <cellStyle name="Colore 5 2" xfId="32" xr:uid="{00000000-0005-0000-0000-00001F000000}"/>
    <cellStyle name="Colore 6 2" xfId="33" xr:uid="{00000000-0005-0000-0000-000020000000}"/>
    <cellStyle name="Euro" xfId="34" xr:uid="{00000000-0005-0000-0000-000023000000}"/>
    <cellStyle name="Euro 2" xfId="35" xr:uid="{00000000-0005-0000-0000-000024000000}"/>
    <cellStyle name="Euro 3" xfId="77" xr:uid="{00000000-0005-0000-0000-000025000000}"/>
    <cellStyle name="Euro 4" xfId="80" xr:uid="{00000000-0005-0000-0000-000026000000}"/>
    <cellStyle name="Euro 4 2" xfId="89" xr:uid="{00000000-0005-0000-0000-000027000000}"/>
    <cellStyle name="Excel Built-in Normal" xfId="36" xr:uid="{00000000-0005-0000-0000-000028000000}"/>
    <cellStyle name="Excel Built-in Percent" xfId="37" xr:uid="{00000000-0005-0000-0000-000029000000}"/>
    <cellStyle name="Heading" xfId="38" xr:uid="{00000000-0005-0000-0000-00002A000000}"/>
    <cellStyle name="Heading1" xfId="39" xr:uid="{00000000-0005-0000-0000-00002B000000}"/>
    <cellStyle name="Input 2" xfId="40" xr:uid="{00000000-0005-0000-0000-00002D000000}"/>
    <cellStyle name="Migliaia" xfId="66" builtinId="3"/>
    <cellStyle name="Migliaia [0] 2" xfId="41" xr:uid="{00000000-0005-0000-0000-00002E000000}"/>
    <cellStyle name="Migliaia [0] 2 2" xfId="42" xr:uid="{00000000-0005-0000-0000-00002F000000}"/>
    <cellStyle name="Migliaia 2" xfId="69" xr:uid="{00000000-0005-0000-0000-000030000000}"/>
    <cellStyle name="Migliaia 2 2" xfId="43" xr:uid="{00000000-0005-0000-0000-000031000000}"/>
    <cellStyle name="Migliaia 2 3" xfId="44" xr:uid="{00000000-0005-0000-0000-000032000000}"/>
    <cellStyle name="Migliaia 2 4" xfId="86" xr:uid="{00000000-0005-0000-0000-000033000000}"/>
    <cellStyle name="Migliaia 2 5" xfId="76" xr:uid="{00000000-0005-0000-0000-000034000000}"/>
    <cellStyle name="Migliaia 3" xfId="70" xr:uid="{00000000-0005-0000-0000-000035000000}"/>
    <cellStyle name="Migliaia 3 2" xfId="87" xr:uid="{00000000-0005-0000-0000-000036000000}"/>
    <cellStyle name="Migliaia 3 3" xfId="78" xr:uid="{00000000-0005-0000-0000-000037000000}"/>
    <cellStyle name="Migliaia 4" xfId="79" xr:uid="{00000000-0005-0000-0000-000038000000}"/>
    <cellStyle name="Migliaia 4 2" xfId="88" xr:uid="{00000000-0005-0000-0000-000039000000}"/>
    <cellStyle name="Migliaia 5" xfId="71" xr:uid="{00000000-0005-0000-0000-00003A000000}"/>
    <cellStyle name="Migliaia 5 2" xfId="90" xr:uid="{00000000-0005-0000-0000-00003B000000}"/>
    <cellStyle name="Migliaia 5 3" xfId="81" xr:uid="{00000000-0005-0000-0000-00003C000000}"/>
    <cellStyle name="Migliaia 6" xfId="72" xr:uid="{00000000-0005-0000-0000-00003D000000}"/>
    <cellStyle name="Migliaia 6 2" xfId="91" xr:uid="{00000000-0005-0000-0000-00003E000000}"/>
    <cellStyle name="Migliaia 6 3" xfId="82" xr:uid="{00000000-0005-0000-0000-00003F000000}"/>
    <cellStyle name="Migliaia 7" xfId="73" xr:uid="{00000000-0005-0000-0000-000040000000}"/>
    <cellStyle name="Migliaia 7 2" xfId="92" xr:uid="{00000000-0005-0000-0000-000041000000}"/>
    <cellStyle name="Migliaia 7 3" xfId="83" xr:uid="{00000000-0005-0000-0000-000042000000}"/>
    <cellStyle name="Neutrale 2" xfId="45" xr:uid="{00000000-0005-0000-0000-000043000000}"/>
    <cellStyle name="Normale" xfId="0" builtinId="0" customBuiltin="1"/>
    <cellStyle name="Normale 2" xfId="75" xr:uid="{00000000-0005-0000-0000-000045000000}"/>
    <cellStyle name="Normale 2 2" xfId="46" xr:uid="{00000000-0005-0000-0000-000046000000}"/>
    <cellStyle name="Normale 2 3" xfId="47" xr:uid="{00000000-0005-0000-0000-000047000000}"/>
    <cellStyle name="Normale 2 4" xfId="85" xr:uid="{00000000-0005-0000-0000-000048000000}"/>
    <cellStyle name="Normale 3" xfId="48" xr:uid="{00000000-0005-0000-0000-000049000000}"/>
    <cellStyle name="Normale 4" xfId="49" xr:uid="{00000000-0005-0000-0000-00004A000000}"/>
    <cellStyle name="Normale 5" xfId="50" xr:uid="{00000000-0005-0000-0000-00004B000000}"/>
    <cellStyle name="Normale 6" xfId="74" xr:uid="{00000000-0005-0000-0000-00004C000000}"/>
    <cellStyle name="Normale 6 2" xfId="84" xr:uid="{00000000-0005-0000-0000-00004D000000}"/>
    <cellStyle name="Nota 2" xfId="51" xr:uid="{00000000-0005-0000-0000-00004E000000}"/>
    <cellStyle name="Output 2" xfId="52" xr:uid="{00000000-0005-0000-0000-00004F000000}"/>
    <cellStyle name="Percentuale" xfId="68" builtinId="5"/>
    <cellStyle name="Result" xfId="53" xr:uid="{00000000-0005-0000-0000-000051000000}"/>
    <cellStyle name="Result2" xfId="54" xr:uid="{00000000-0005-0000-0000-000052000000}"/>
    <cellStyle name="Testo avviso 2" xfId="55" xr:uid="{00000000-0005-0000-0000-000053000000}"/>
    <cellStyle name="Testo descrittivo 2" xfId="56" xr:uid="{00000000-0005-0000-0000-000054000000}"/>
    <cellStyle name="Titolo 1 2" xfId="57" xr:uid="{00000000-0005-0000-0000-000055000000}"/>
    <cellStyle name="Titolo 2 2" xfId="58" xr:uid="{00000000-0005-0000-0000-000056000000}"/>
    <cellStyle name="Titolo 3 2" xfId="59" xr:uid="{00000000-0005-0000-0000-000057000000}"/>
    <cellStyle name="Titolo 4 2" xfId="60" xr:uid="{00000000-0005-0000-0000-000058000000}"/>
    <cellStyle name="Titolo 5" xfId="61" xr:uid="{00000000-0005-0000-0000-000059000000}"/>
    <cellStyle name="Totale 2" xfId="62" xr:uid="{00000000-0005-0000-0000-00005A000000}"/>
    <cellStyle name="Valore non valido 2" xfId="63" xr:uid="{00000000-0005-0000-0000-00005B000000}"/>
    <cellStyle name="Valore valido 2" xfId="64" xr:uid="{00000000-0005-0000-0000-00005C000000}"/>
    <cellStyle name="Valuta" xfId="6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sede 18106'!$B$2</c:f>
              <c:strCache>
                <c:ptCount val="1"/>
                <c:pt idx="0">
                  <c:v> F1 </c:v>
                </c:pt>
              </c:strCache>
            </c:strRef>
          </c:tx>
          <c:marker>
            <c:symbol val="none"/>
          </c:marker>
          <c:cat>
            <c:strRef>
              <c:f>'Dettagli sede 18106'!$A$3:$A$14</c:f>
              <c:strCache>
                <c:ptCount val="12"/>
                <c:pt idx="0">
                  <c:v> gennaio </c:v>
                </c:pt>
                <c:pt idx="1">
                  <c:v> febbraio </c:v>
                </c:pt>
                <c:pt idx="2">
                  <c:v> marzo </c:v>
                </c:pt>
                <c:pt idx="3">
                  <c:v> aprile </c:v>
                </c:pt>
                <c:pt idx="4">
                  <c:v> maggio </c:v>
                </c:pt>
                <c:pt idx="5">
                  <c:v> giugno </c:v>
                </c:pt>
                <c:pt idx="6">
                  <c:v> luglio </c:v>
                </c:pt>
                <c:pt idx="7">
                  <c:v> agosto </c:v>
                </c:pt>
                <c:pt idx="8">
                  <c:v> settembre </c:v>
                </c:pt>
                <c:pt idx="9">
                  <c:v> ottobre </c:v>
                </c:pt>
                <c:pt idx="10">
                  <c:v> novembre </c:v>
                </c:pt>
                <c:pt idx="11">
                  <c:v> dicembre </c:v>
                </c:pt>
              </c:strCache>
            </c:strRef>
          </c:cat>
          <c:val>
            <c:numRef>
              <c:f>'Dettagli sede 18106'!$B$3:$B$14</c:f>
              <c:numCache>
                <c:formatCode>_-* #,##0_-;\-* #,##0_-;_-* "-"??_-;_-@_-</c:formatCode>
                <c:ptCount val="12"/>
                <c:pt idx="0">
                  <c:v>308074</c:v>
                </c:pt>
                <c:pt idx="1">
                  <c:v>301623</c:v>
                </c:pt>
                <c:pt idx="2">
                  <c:v>347149</c:v>
                </c:pt>
                <c:pt idx="3">
                  <c:v>332991</c:v>
                </c:pt>
                <c:pt idx="4">
                  <c:v>415184</c:v>
                </c:pt>
                <c:pt idx="5">
                  <c:v>485886</c:v>
                </c:pt>
                <c:pt idx="6">
                  <c:v>556475</c:v>
                </c:pt>
                <c:pt idx="7">
                  <c:v>506580</c:v>
                </c:pt>
                <c:pt idx="8">
                  <c:v>433722</c:v>
                </c:pt>
                <c:pt idx="9">
                  <c:v>386632</c:v>
                </c:pt>
                <c:pt idx="10">
                  <c:v>346200</c:v>
                </c:pt>
                <c:pt idx="11">
                  <c:v>299336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45-41AE-B555-4BA786FB8BBD}"/>
            </c:ext>
          </c:extLst>
        </c:ser>
        <c:ser>
          <c:idx val="1"/>
          <c:order val="1"/>
          <c:tx>
            <c:strRef>
              <c:f>'Dettagli sede 18106'!$C$2</c:f>
              <c:strCache>
                <c:ptCount val="1"/>
                <c:pt idx="0">
                  <c:v> F2 </c:v>
                </c:pt>
              </c:strCache>
            </c:strRef>
          </c:tx>
          <c:marker>
            <c:symbol val="none"/>
          </c:marker>
          <c:cat>
            <c:strRef>
              <c:f>'Dettagli sede 18106'!$A$3:$A$14</c:f>
              <c:strCache>
                <c:ptCount val="12"/>
                <c:pt idx="0">
                  <c:v> gennaio </c:v>
                </c:pt>
                <c:pt idx="1">
                  <c:v> febbraio </c:v>
                </c:pt>
                <c:pt idx="2">
                  <c:v> marzo </c:v>
                </c:pt>
                <c:pt idx="3">
                  <c:v> aprile </c:v>
                </c:pt>
                <c:pt idx="4">
                  <c:v> maggio </c:v>
                </c:pt>
                <c:pt idx="5">
                  <c:v> giugno </c:v>
                </c:pt>
                <c:pt idx="6">
                  <c:v> luglio </c:v>
                </c:pt>
                <c:pt idx="7">
                  <c:v> agosto </c:v>
                </c:pt>
                <c:pt idx="8">
                  <c:v> settembre </c:v>
                </c:pt>
                <c:pt idx="9">
                  <c:v> ottobre </c:v>
                </c:pt>
                <c:pt idx="10">
                  <c:v> novembre </c:v>
                </c:pt>
                <c:pt idx="11">
                  <c:v> dicembre </c:v>
                </c:pt>
              </c:strCache>
            </c:strRef>
          </c:cat>
          <c:val>
            <c:numRef>
              <c:f>'Dettagli sede 18106'!$C$3:$C$14</c:f>
              <c:numCache>
                <c:formatCode>_-* #,##0_-;\-* #,##0_-;_-* "-"??_-;_-@_-</c:formatCode>
                <c:ptCount val="12"/>
                <c:pt idx="0">
                  <c:v>209316</c:v>
                </c:pt>
                <c:pt idx="1">
                  <c:v>206951</c:v>
                </c:pt>
                <c:pt idx="2">
                  <c:v>235698</c:v>
                </c:pt>
                <c:pt idx="3">
                  <c:v>229529</c:v>
                </c:pt>
                <c:pt idx="4">
                  <c:v>271235</c:v>
                </c:pt>
                <c:pt idx="5">
                  <c:v>302226</c:v>
                </c:pt>
                <c:pt idx="6">
                  <c:v>343260</c:v>
                </c:pt>
                <c:pt idx="7">
                  <c:v>313529</c:v>
                </c:pt>
                <c:pt idx="8">
                  <c:v>293362</c:v>
                </c:pt>
                <c:pt idx="9">
                  <c:v>263985</c:v>
                </c:pt>
                <c:pt idx="10">
                  <c:v>231056</c:v>
                </c:pt>
                <c:pt idx="11">
                  <c:v>215140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5-41AE-B555-4BA786FB8BBD}"/>
            </c:ext>
          </c:extLst>
        </c:ser>
        <c:ser>
          <c:idx val="2"/>
          <c:order val="2"/>
          <c:tx>
            <c:strRef>
              <c:f>'Dettagli sede 18106'!$D$2</c:f>
              <c:strCache>
                <c:ptCount val="1"/>
                <c:pt idx="0">
                  <c:v> F3 </c:v>
                </c:pt>
              </c:strCache>
            </c:strRef>
          </c:tx>
          <c:marker>
            <c:symbol val="none"/>
          </c:marker>
          <c:cat>
            <c:strRef>
              <c:f>'Dettagli sede 18106'!$A$3:$A$14</c:f>
              <c:strCache>
                <c:ptCount val="12"/>
                <c:pt idx="0">
                  <c:v> gennaio </c:v>
                </c:pt>
                <c:pt idx="1">
                  <c:v> febbraio </c:v>
                </c:pt>
                <c:pt idx="2">
                  <c:v> marzo </c:v>
                </c:pt>
                <c:pt idx="3">
                  <c:v> aprile </c:v>
                </c:pt>
                <c:pt idx="4">
                  <c:v> maggio </c:v>
                </c:pt>
                <c:pt idx="5">
                  <c:v> giugno </c:v>
                </c:pt>
                <c:pt idx="6">
                  <c:v> luglio </c:v>
                </c:pt>
                <c:pt idx="7">
                  <c:v> agosto </c:v>
                </c:pt>
                <c:pt idx="8">
                  <c:v> settembre </c:v>
                </c:pt>
                <c:pt idx="9">
                  <c:v> ottobre </c:v>
                </c:pt>
                <c:pt idx="10">
                  <c:v> novembre </c:v>
                </c:pt>
                <c:pt idx="11">
                  <c:v> dicembre </c:v>
                </c:pt>
              </c:strCache>
            </c:strRef>
          </c:cat>
          <c:val>
            <c:numRef>
              <c:f>'Dettagli sede 18106'!$D$3:$D$14</c:f>
              <c:numCache>
                <c:formatCode>_-* #,##0_-;\-* #,##0_-;_-* "-"??_-;_-@_-</c:formatCode>
                <c:ptCount val="12"/>
                <c:pt idx="0">
                  <c:v>464047</c:v>
                </c:pt>
                <c:pt idx="1">
                  <c:v>408568</c:v>
                </c:pt>
                <c:pt idx="2">
                  <c:v>458410</c:v>
                </c:pt>
                <c:pt idx="3">
                  <c:v>491609</c:v>
                </c:pt>
                <c:pt idx="4">
                  <c:v>523297</c:v>
                </c:pt>
                <c:pt idx="5">
                  <c:v>560309</c:v>
                </c:pt>
                <c:pt idx="6">
                  <c:v>610229</c:v>
                </c:pt>
                <c:pt idx="7">
                  <c:v>586919</c:v>
                </c:pt>
                <c:pt idx="8">
                  <c:v>502213</c:v>
                </c:pt>
                <c:pt idx="9">
                  <c:v>497902</c:v>
                </c:pt>
                <c:pt idx="10">
                  <c:v>472613</c:v>
                </c:pt>
                <c:pt idx="11">
                  <c:v>493318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45-41AE-B555-4BA786FB8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0586112"/>
        <c:axId val="1470588832"/>
      </c:lineChart>
      <c:catAx>
        <c:axId val="147058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0588832"/>
        <c:crosses val="autoZero"/>
        <c:auto val="1"/>
        <c:lblAlgn val="ctr"/>
        <c:lblOffset val="100"/>
        <c:noMultiLvlLbl val="0"/>
      </c:catAx>
      <c:valAx>
        <c:axId val="14705888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47058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sede 18106'!$G$2</c:f>
              <c:strCache>
                <c:ptCount val="1"/>
                <c:pt idx="0">
                  <c:v> F1 </c:v>
                </c:pt>
              </c:strCache>
            </c:strRef>
          </c:tx>
          <c:marker>
            <c:symbol val="none"/>
          </c:marker>
          <c:cat>
            <c:strRef>
              <c:f>'Dettagli sede 18106'!$F$3:$F$14</c:f>
              <c:strCache>
                <c:ptCount val="12"/>
                <c:pt idx="0">
                  <c:v> marzo </c:v>
                </c:pt>
                <c:pt idx="1">
                  <c:v> aprile </c:v>
                </c:pt>
                <c:pt idx="2">
                  <c:v> maggio </c:v>
                </c:pt>
                <c:pt idx="3">
                  <c:v> giugno </c:v>
                </c:pt>
                <c:pt idx="4">
                  <c:v> luglio </c:v>
                </c:pt>
                <c:pt idx="5">
                  <c:v> agosto </c:v>
                </c:pt>
                <c:pt idx="6">
                  <c:v> settembre </c:v>
                </c:pt>
                <c:pt idx="7">
                  <c:v> ottobre </c:v>
                </c:pt>
                <c:pt idx="8">
                  <c:v> novembre </c:v>
                </c:pt>
                <c:pt idx="9">
                  <c:v> dicembre </c:v>
                </c:pt>
                <c:pt idx="10">
                  <c:v> gennaio </c:v>
                </c:pt>
                <c:pt idx="11">
                  <c:v> febbraio </c:v>
                </c:pt>
              </c:strCache>
            </c:strRef>
          </c:cat>
          <c:val>
            <c:numRef>
              <c:f>'Dettagli sede 18106'!$G$3:$G$14</c:f>
              <c:numCache>
                <c:formatCode>_-* #,##0_-;\-* #,##0_-;_-* "-"??_-;_-@_-</c:formatCode>
                <c:ptCount val="12"/>
                <c:pt idx="0">
                  <c:v>846693</c:v>
                </c:pt>
                <c:pt idx="1">
                  <c:v>768010</c:v>
                </c:pt>
                <c:pt idx="2">
                  <c:v>944187</c:v>
                </c:pt>
                <c:pt idx="3">
                  <c:v>1110817</c:v>
                </c:pt>
                <c:pt idx="4">
                  <c:v>1335478</c:v>
                </c:pt>
                <c:pt idx="5">
                  <c:v>1165014</c:v>
                </c:pt>
                <c:pt idx="6">
                  <c:v>1018079</c:v>
                </c:pt>
                <c:pt idx="7">
                  <c:v>854015</c:v>
                </c:pt>
                <c:pt idx="8">
                  <c:v>728617</c:v>
                </c:pt>
                <c:pt idx="9">
                  <c:v>744738</c:v>
                </c:pt>
                <c:pt idx="10">
                  <c:v>831991</c:v>
                </c:pt>
                <c:pt idx="11">
                  <c:v>815138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A9-4DB1-A81C-6256F4CAA37F}"/>
            </c:ext>
          </c:extLst>
        </c:ser>
        <c:ser>
          <c:idx val="1"/>
          <c:order val="1"/>
          <c:tx>
            <c:strRef>
              <c:f>'Dettagli sede 18106'!$H$2</c:f>
              <c:strCache>
                <c:ptCount val="1"/>
                <c:pt idx="0">
                  <c:v> F2 </c:v>
                </c:pt>
              </c:strCache>
            </c:strRef>
          </c:tx>
          <c:marker>
            <c:symbol val="none"/>
          </c:marker>
          <c:cat>
            <c:strRef>
              <c:f>'Dettagli sede 18106'!$F$3:$F$14</c:f>
              <c:strCache>
                <c:ptCount val="12"/>
                <c:pt idx="0">
                  <c:v> marzo </c:v>
                </c:pt>
                <c:pt idx="1">
                  <c:v> aprile </c:v>
                </c:pt>
                <c:pt idx="2">
                  <c:v> maggio </c:v>
                </c:pt>
                <c:pt idx="3">
                  <c:v> giugno </c:v>
                </c:pt>
                <c:pt idx="4">
                  <c:v> luglio </c:v>
                </c:pt>
                <c:pt idx="5">
                  <c:v> agosto </c:v>
                </c:pt>
                <c:pt idx="6">
                  <c:v> settembre </c:v>
                </c:pt>
                <c:pt idx="7">
                  <c:v> ottobre </c:v>
                </c:pt>
                <c:pt idx="8">
                  <c:v> novembre </c:v>
                </c:pt>
                <c:pt idx="9">
                  <c:v> dicembre </c:v>
                </c:pt>
                <c:pt idx="10">
                  <c:v> gennaio </c:v>
                </c:pt>
                <c:pt idx="11">
                  <c:v> febbraio </c:v>
                </c:pt>
              </c:strCache>
            </c:strRef>
          </c:cat>
          <c:val>
            <c:numRef>
              <c:f>'Dettagli sede 18106'!$H$3:$H$14</c:f>
              <c:numCache>
                <c:formatCode>_-* #,##0_-;\-* #,##0_-;_-* "-"??_-;_-@_-</c:formatCode>
                <c:ptCount val="12"/>
                <c:pt idx="0">
                  <c:v>609132</c:v>
                </c:pt>
                <c:pt idx="1">
                  <c:v>579455</c:v>
                </c:pt>
                <c:pt idx="2">
                  <c:v>692660</c:v>
                </c:pt>
                <c:pt idx="3">
                  <c:v>746419</c:v>
                </c:pt>
                <c:pt idx="4">
                  <c:v>892489</c:v>
                </c:pt>
                <c:pt idx="5">
                  <c:v>797731</c:v>
                </c:pt>
                <c:pt idx="6">
                  <c:v>736032</c:v>
                </c:pt>
                <c:pt idx="7">
                  <c:v>655697</c:v>
                </c:pt>
                <c:pt idx="8">
                  <c:v>558913</c:v>
                </c:pt>
                <c:pt idx="9">
                  <c:v>495496</c:v>
                </c:pt>
                <c:pt idx="10">
                  <c:v>565638</c:v>
                </c:pt>
                <c:pt idx="11">
                  <c:v>556778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A9-4DB1-A81C-6256F4CAA37F}"/>
            </c:ext>
          </c:extLst>
        </c:ser>
        <c:ser>
          <c:idx val="2"/>
          <c:order val="2"/>
          <c:tx>
            <c:strRef>
              <c:f>'Dettagli sede 18106'!$I$2</c:f>
              <c:strCache>
                <c:ptCount val="1"/>
                <c:pt idx="0">
                  <c:v> F3 </c:v>
                </c:pt>
              </c:strCache>
            </c:strRef>
          </c:tx>
          <c:marker>
            <c:symbol val="none"/>
          </c:marker>
          <c:cat>
            <c:strRef>
              <c:f>'Dettagli sede 18106'!$F$3:$F$14</c:f>
              <c:strCache>
                <c:ptCount val="12"/>
                <c:pt idx="0">
                  <c:v> marzo </c:v>
                </c:pt>
                <c:pt idx="1">
                  <c:v> aprile </c:v>
                </c:pt>
                <c:pt idx="2">
                  <c:v> maggio </c:v>
                </c:pt>
                <c:pt idx="3">
                  <c:v> giugno </c:v>
                </c:pt>
                <c:pt idx="4">
                  <c:v> luglio </c:v>
                </c:pt>
                <c:pt idx="5">
                  <c:v> agosto </c:v>
                </c:pt>
                <c:pt idx="6">
                  <c:v> settembre </c:v>
                </c:pt>
                <c:pt idx="7">
                  <c:v> ottobre </c:v>
                </c:pt>
                <c:pt idx="8">
                  <c:v> novembre </c:v>
                </c:pt>
                <c:pt idx="9">
                  <c:v> dicembre </c:v>
                </c:pt>
                <c:pt idx="10">
                  <c:v> gennaio </c:v>
                </c:pt>
                <c:pt idx="11">
                  <c:v> febbraio </c:v>
                </c:pt>
              </c:strCache>
            </c:strRef>
          </c:cat>
          <c:val>
            <c:numRef>
              <c:f>'Dettagli sede 18106'!$I$3:$I$14</c:f>
              <c:numCache>
                <c:formatCode>_-* #,##0_-;\-* #,##0_-;_-* "-"??_-;_-@_-</c:formatCode>
                <c:ptCount val="12"/>
                <c:pt idx="0">
                  <c:v>1094476</c:v>
                </c:pt>
                <c:pt idx="1">
                  <c:v>1175347</c:v>
                </c:pt>
                <c:pt idx="2">
                  <c:v>1275574</c:v>
                </c:pt>
                <c:pt idx="3">
                  <c:v>1368028</c:v>
                </c:pt>
                <c:pt idx="4">
                  <c:v>1524553</c:v>
                </c:pt>
                <c:pt idx="5">
                  <c:v>1469913</c:v>
                </c:pt>
                <c:pt idx="6">
                  <c:v>1269726</c:v>
                </c:pt>
                <c:pt idx="7">
                  <c:v>1162919</c:v>
                </c:pt>
                <c:pt idx="8">
                  <c:v>930158</c:v>
                </c:pt>
                <c:pt idx="9">
                  <c:v>1011830</c:v>
                </c:pt>
                <c:pt idx="10">
                  <c:v>1143432</c:v>
                </c:pt>
                <c:pt idx="11">
                  <c:v>992493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A9-4DB1-A81C-6256F4CAA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639040"/>
        <c:axId val="1699468480"/>
      </c:lineChart>
      <c:catAx>
        <c:axId val="129463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9468480"/>
        <c:crosses val="autoZero"/>
        <c:auto val="1"/>
        <c:lblAlgn val="ctr"/>
        <c:lblOffset val="100"/>
        <c:noMultiLvlLbl val="0"/>
      </c:catAx>
      <c:valAx>
        <c:axId val="16994684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294639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'Dettagli sede POP'!$M$1</c:f>
              <c:strCache>
                <c:ptCount val="1"/>
                <c:pt idx="0">
                  <c:v>Peak</c:v>
                </c:pt>
              </c:strCache>
            </c:strRef>
          </c:tx>
          <c:marker>
            <c:symbol val="none"/>
          </c:marker>
          <c:cat>
            <c:strRef>
              <c:f>'Dettagli sede POP'!$L$2:$L$13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sede POP'!$M$2:$M$13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9F-4F9A-B3D8-F8E13EA8791A}"/>
            </c:ext>
          </c:extLst>
        </c:ser>
        <c:ser>
          <c:idx val="1"/>
          <c:order val="1"/>
          <c:tx>
            <c:strRef>
              <c:f>'Dettagli sede POP'!$N$1</c:f>
              <c:strCache>
                <c:ptCount val="1"/>
                <c:pt idx="0">
                  <c:v>Off Peak</c:v>
                </c:pt>
              </c:strCache>
            </c:strRef>
          </c:tx>
          <c:marker>
            <c:symbol val="none"/>
          </c:marker>
          <c:cat>
            <c:strRef>
              <c:f>'Dettagli sede POP'!$L$2:$L$13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'Dettagli sede POP'!$N$2:$N$13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F-4F9A-B3D8-F8E13EA8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9460320"/>
        <c:axId val="1699459776"/>
      </c:lineChart>
      <c:catAx>
        <c:axId val="169946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9459776"/>
        <c:crosses val="autoZero"/>
        <c:auto val="1"/>
        <c:lblAlgn val="ctr"/>
        <c:lblOffset val="100"/>
        <c:noMultiLvlLbl val="0"/>
      </c:catAx>
      <c:valAx>
        <c:axId val="1699459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9946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241028</xdr:colOff>
      <xdr:row>0</xdr:row>
      <xdr:rowOff>121635</xdr:rowOff>
    </xdr:from>
    <xdr:to>
      <xdr:col>15</xdr:col>
      <xdr:colOff>1445965</xdr:colOff>
      <xdr:row>4</xdr:row>
      <xdr:rowOff>134254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7064" y="121635"/>
          <a:ext cx="3435519" cy="7330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360217</xdr:colOff>
      <xdr:row>9</xdr:row>
      <xdr:rowOff>48491</xdr:rowOff>
    </xdr:from>
    <xdr:to>
      <xdr:col>16</xdr:col>
      <xdr:colOff>955963</xdr:colOff>
      <xdr:row>23</xdr:row>
      <xdr:rowOff>34637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346362</xdr:colOff>
      <xdr:row>26</xdr:row>
      <xdr:rowOff>90054</xdr:rowOff>
    </xdr:from>
    <xdr:to>
      <xdr:col>16</xdr:col>
      <xdr:colOff>997526</xdr:colOff>
      <xdr:row>41</xdr:row>
      <xdr:rowOff>131618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22860</xdr:rowOff>
    </xdr:from>
    <xdr:to>
      <xdr:col>5</xdr:col>
      <xdr:colOff>640080</xdr:colOff>
      <xdr:row>43</xdr:row>
      <xdr:rowOff>68580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.fortunato@caan.it" TargetMode="External"/><Relationship Id="rId13" Type="http://schemas.openxmlformats.org/officeDocument/2006/relationships/hyperlink" Target="mailto:ghigliotti@mercatogenova.it" TargetMode="External"/><Relationship Id="rId3" Type="http://schemas.openxmlformats.org/officeDocument/2006/relationships/hyperlink" Target="mailto:lorenzo.rocchi@mercafir.it" TargetMode="External"/><Relationship Id="rId7" Type="http://schemas.openxmlformats.org/officeDocument/2006/relationships/hyperlink" Target="mailto:info@caan.it" TargetMode="External"/><Relationship Id="rId12" Type="http://schemas.openxmlformats.org/officeDocument/2006/relationships/hyperlink" Target="mailto:caat@caat.it" TargetMode="External"/><Relationship Id="rId2" Type="http://schemas.openxmlformats.org/officeDocument/2006/relationships/hyperlink" Target="mailto:gabriele.ruggeri@mercatimilano.it" TargetMode="External"/><Relationship Id="rId1" Type="http://schemas.openxmlformats.org/officeDocument/2006/relationships/hyperlink" Target="mailto:protocollo@mercatimilano.telecompec.it" TargetMode="External"/><Relationship Id="rId6" Type="http://schemas.openxmlformats.org/officeDocument/2006/relationships/hyperlink" Target="mailto:n.duro@agroalimroma.it" TargetMode="External"/><Relationship Id="rId11" Type="http://schemas.openxmlformats.org/officeDocument/2006/relationships/hyperlink" Target="javascript:top.openWin('%2FWorldClient.dll%3FSession%3DYFD3KQ591HSI2%26View%3DCompose%26New%3DYes%26To%3Dghiano%2540caat.it','Compose',800,600,'yes');" TargetMode="External"/><Relationship Id="rId5" Type="http://schemas.openxmlformats.org/officeDocument/2006/relationships/hyperlink" Target="mailto:m.caldari@agroalimroma.it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uff.tecnico@veronamercato.it" TargetMode="External"/><Relationship Id="rId4" Type="http://schemas.openxmlformats.org/officeDocument/2006/relationships/hyperlink" Target="mailto:donella.fantechi@mercafir.it" TargetMode="External"/><Relationship Id="rId9" Type="http://schemas.openxmlformats.org/officeDocument/2006/relationships/hyperlink" Target="mailto:amministrazione@veronamercato.it" TargetMode="External"/><Relationship Id="rId14" Type="http://schemas.openxmlformats.org/officeDocument/2006/relationships/hyperlink" Target="mailto:testini@mercatogenova.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65526"/>
  <sheetViews>
    <sheetView tabSelected="1" workbookViewId="0"/>
  </sheetViews>
  <sheetFormatPr defaultColWidth="24.875" defaultRowHeight="15"/>
  <cols>
    <col min="1" max="1" width="24.875" style="1"/>
    <col min="2" max="2" width="33.875" style="1" customWidth="1"/>
    <col min="3" max="3" width="28.125" style="1" customWidth="1"/>
    <col min="4" max="4" width="27.75" style="1" customWidth="1"/>
    <col min="5" max="5" width="34.75" style="3" customWidth="1"/>
    <col min="6" max="6" width="30.375" style="1" customWidth="1"/>
    <col min="7" max="7" width="28.625" style="1" bestFit="1" customWidth="1"/>
    <col min="8" max="8" width="31.25" style="1" customWidth="1"/>
    <col min="9" max="1023" width="24.875" style="1"/>
  </cols>
  <sheetData>
    <row r="1" spans="1:1023" s="34" customFormat="1">
      <c r="A1" s="103" t="s">
        <v>65</v>
      </c>
      <c r="B1" s="35">
        <v>1</v>
      </c>
      <c r="C1" s="126" t="s">
        <v>252</v>
      </c>
      <c r="D1" s="126" t="s">
        <v>253</v>
      </c>
      <c r="E1" s="126" t="s">
        <v>254</v>
      </c>
      <c r="F1" s="126" t="s">
        <v>255</v>
      </c>
      <c r="G1" s="35" t="s">
        <v>256</v>
      </c>
      <c r="H1" s="35" t="s">
        <v>277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</row>
    <row r="2" spans="1:1023" ht="15" customHeight="1">
      <c r="A2" s="31" t="s">
        <v>0</v>
      </c>
      <c r="B2" s="135" t="s">
        <v>139</v>
      </c>
      <c r="C2" s="135" t="s">
        <v>140</v>
      </c>
      <c r="D2" s="135" t="s">
        <v>141</v>
      </c>
      <c r="E2" s="135" t="s">
        <v>142</v>
      </c>
      <c r="F2" s="135" t="s">
        <v>201</v>
      </c>
      <c r="G2" s="197" t="s">
        <v>236</v>
      </c>
      <c r="H2" s="197" t="s">
        <v>273</v>
      </c>
      <c r="AME2"/>
      <c r="AMF2"/>
      <c r="AMG2"/>
      <c r="AMH2"/>
      <c r="AMI2"/>
    </row>
    <row r="3" spans="1:1023" ht="15" customHeight="1">
      <c r="A3" s="31" t="s">
        <v>62</v>
      </c>
      <c r="B3" s="136" t="s">
        <v>143</v>
      </c>
      <c r="C3" s="136" t="s">
        <v>144</v>
      </c>
      <c r="D3" s="136" t="s">
        <v>181</v>
      </c>
      <c r="E3" s="136" t="s">
        <v>145</v>
      </c>
      <c r="F3" s="136" t="s">
        <v>202</v>
      </c>
      <c r="G3" s="136" t="s">
        <v>257</v>
      </c>
      <c r="H3" s="136" t="s">
        <v>274</v>
      </c>
      <c r="AME3"/>
      <c r="AMF3"/>
      <c r="AMG3"/>
      <c r="AMH3"/>
      <c r="AMI3"/>
    </row>
    <row r="4" spans="1:1023" ht="15" customHeight="1">
      <c r="A4" s="32" t="s">
        <v>1</v>
      </c>
      <c r="B4" s="136" t="s">
        <v>143</v>
      </c>
      <c r="C4" s="136" t="s">
        <v>144</v>
      </c>
      <c r="D4" s="136" t="s">
        <v>181</v>
      </c>
      <c r="E4" s="136" t="s">
        <v>145</v>
      </c>
      <c r="F4" s="136" t="s">
        <v>202</v>
      </c>
      <c r="G4" s="136" t="s">
        <v>257</v>
      </c>
      <c r="H4" s="136" t="s">
        <v>274</v>
      </c>
      <c r="AME4"/>
      <c r="AMF4"/>
      <c r="AMG4"/>
      <c r="AMH4"/>
      <c r="AMI4"/>
    </row>
    <row r="5" spans="1:1023" ht="15" customHeight="1">
      <c r="A5" s="31" t="s">
        <v>2</v>
      </c>
      <c r="B5" s="135" t="s">
        <v>146</v>
      </c>
      <c r="C5" s="135" t="s">
        <v>147</v>
      </c>
      <c r="D5" s="135" t="s">
        <v>148</v>
      </c>
      <c r="E5" s="135" t="s">
        <v>149</v>
      </c>
      <c r="F5" s="135" t="s">
        <v>203</v>
      </c>
      <c r="G5" s="136" t="s">
        <v>249</v>
      </c>
      <c r="H5" s="136" t="s">
        <v>275</v>
      </c>
      <c r="AME5"/>
      <c r="AMF5"/>
      <c r="AMG5"/>
      <c r="AMH5"/>
      <c r="AMI5"/>
    </row>
    <row r="6" spans="1:1023" ht="15" customHeight="1">
      <c r="A6" s="31" t="s">
        <v>3</v>
      </c>
      <c r="B6" s="135" t="s">
        <v>191</v>
      </c>
      <c r="C6" s="135" t="s">
        <v>150</v>
      </c>
      <c r="D6" s="135" t="s">
        <v>151</v>
      </c>
      <c r="E6" s="135" t="s">
        <v>152</v>
      </c>
      <c r="F6" s="135" t="s">
        <v>204</v>
      </c>
      <c r="G6" s="135" t="s">
        <v>250</v>
      </c>
      <c r="H6" s="135" t="s">
        <v>271</v>
      </c>
      <c r="AME6"/>
      <c r="AMF6"/>
      <c r="AMG6"/>
      <c r="AMH6"/>
      <c r="AMI6"/>
    </row>
    <row r="7" spans="1:1023" ht="15" customHeight="1">
      <c r="A7" s="31" t="s">
        <v>4</v>
      </c>
      <c r="B7" s="135">
        <v>80040</v>
      </c>
      <c r="C7" s="137" t="s">
        <v>153</v>
      </c>
      <c r="D7" s="137">
        <v>50127</v>
      </c>
      <c r="E7" s="137">
        <v>20137</v>
      </c>
      <c r="F7" s="137">
        <v>37137</v>
      </c>
      <c r="G7" s="137">
        <v>10095</v>
      </c>
      <c r="H7" s="137">
        <v>16162</v>
      </c>
      <c r="AME7"/>
      <c r="AMF7"/>
      <c r="AMG7"/>
      <c r="AMH7"/>
      <c r="AMI7"/>
    </row>
    <row r="8" spans="1:1023" ht="15" customHeight="1">
      <c r="A8" s="31" t="s">
        <v>5</v>
      </c>
      <c r="B8" s="135" t="s">
        <v>154</v>
      </c>
      <c r="C8" s="135" t="s">
        <v>155</v>
      </c>
      <c r="D8" s="135" t="s">
        <v>151</v>
      </c>
      <c r="E8" s="135" t="s">
        <v>152</v>
      </c>
      <c r="F8" s="135" t="s">
        <v>204</v>
      </c>
      <c r="G8" s="135" t="s">
        <v>276</v>
      </c>
      <c r="H8" s="135" t="s">
        <v>271</v>
      </c>
      <c r="AME8"/>
      <c r="AMF8"/>
      <c r="AMG8"/>
      <c r="AMH8"/>
      <c r="AMI8"/>
    </row>
    <row r="9" spans="1:1023" ht="15" customHeight="1">
      <c r="A9" s="31" t="s">
        <v>6</v>
      </c>
      <c r="B9" s="135" t="s">
        <v>146</v>
      </c>
      <c r="C9" s="135" t="s">
        <v>147</v>
      </c>
      <c r="D9" s="135" t="s">
        <v>148</v>
      </c>
      <c r="E9" s="135" t="s">
        <v>149</v>
      </c>
      <c r="F9" s="135" t="s">
        <v>203</v>
      </c>
      <c r="G9" s="136" t="s">
        <v>249</v>
      </c>
      <c r="H9" s="136" t="s">
        <v>275</v>
      </c>
      <c r="AME9"/>
      <c r="AMF9"/>
      <c r="AMG9"/>
      <c r="AMH9"/>
      <c r="AMI9"/>
    </row>
    <row r="10" spans="1:1023" ht="15" customHeight="1">
      <c r="A10" s="31" t="s">
        <v>7</v>
      </c>
      <c r="B10" s="135" t="s">
        <v>191</v>
      </c>
      <c r="C10" s="135" t="s">
        <v>150</v>
      </c>
      <c r="D10" s="135" t="s">
        <v>151</v>
      </c>
      <c r="E10" s="135" t="s">
        <v>152</v>
      </c>
      <c r="F10" s="135" t="s">
        <v>204</v>
      </c>
      <c r="G10" s="135" t="s">
        <v>250</v>
      </c>
      <c r="H10" s="135" t="s">
        <v>271</v>
      </c>
      <c r="AME10"/>
      <c r="AMF10"/>
      <c r="AMG10"/>
      <c r="AMH10"/>
      <c r="AMI10"/>
    </row>
    <row r="11" spans="1:1023" ht="15" customHeight="1">
      <c r="A11" s="31" t="s">
        <v>8</v>
      </c>
      <c r="B11" s="135">
        <v>80040</v>
      </c>
      <c r="C11" s="137" t="s">
        <v>153</v>
      </c>
      <c r="D11" s="137">
        <v>50127</v>
      </c>
      <c r="E11" s="137">
        <v>20137</v>
      </c>
      <c r="F11" s="137">
        <v>37137</v>
      </c>
      <c r="G11" s="137">
        <v>10095</v>
      </c>
      <c r="H11" s="137">
        <v>16162</v>
      </c>
      <c r="AME11"/>
      <c r="AMF11"/>
      <c r="AMG11"/>
      <c r="AMH11"/>
      <c r="AMI11"/>
    </row>
    <row r="12" spans="1:1023" ht="15" customHeight="1">
      <c r="A12" s="31" t="s">
        <v>9</v>
      </c>
      <c r="B12" s="135" t="s">
        <v>154</v>
      </c>
      <c r="C12" s="135" t="s">
        <v>155</v>
      </c>
      <c r="D12" s="135" t="s">
        <v>151</v>
      </c>
      <c r="E12" s="135" t="s">
        <v>152</v>
      </c>
      <c r="F12" s="135" t="s">
        <v>204</v>
      </c>
      <c r="G12" s="135" t="s">
        <v>258</v>
      </c>
      <c r="H12" s="135" t="s">
        <v>271</v>
      </c>
      <c r="AME12"/>
      <c r="AMF12"/>
      <c r="AMG12"/>
      <c r="AMH12"/>
      <c r="AMI12"/>
    </row>
    <row r="13" spans="1:1023" ht="15" customHeight="1">
      <c r="A13" s="31" t="s">
        <v>63</v>
      </c>
      <c r="B13" s="138" t="s">
        <v>192</v>
      </c>
      <c r="C13" s="138" t="s">
        <v>182</v>
      </c>
      <c r="D13" s="138" t="s">
        <v>183</v>
      </c>
      <c r="E13" s="138" t="s">
        <v>184</v>
      </c>
      <c r="F13" s="138" t="s">
        <v>205</v>
      </c>
      <c r="G13" s="138" t="s">
        <v>287</v>
      </c>
      <c r="H13" s="138" t="s">
        <v>300</v>
      </c>
      <c r="AME13"/>
      <c r="AMF13"/>
      <c r="AMG13"/>
      <c r="AMH13"/>
      <c r="AMI13"/>
    </row>
    <row r="14" spans="1:1023" ht="15" customHeight="1">
      <c r="A14" s="31" t="s">
        <v>10</v>
      </c>
      <c r="B14" s="135" t="s">
        <v>293</v>
      </c>
      <c r="C14" s="137" t="s">
        <v>296</v>
      </c>
      <c r="D14" s="137" t="s">
        <v>297</v>
      </c>
      <c r="E14" s="135" t="s">
        <v>291</v>
      </c>
      <c r="F14" s="137" t="s">
        <v>206</v>
      </c>
      <c r="G14" s="137" t="s">
        <v>288</v>
      </c>
      <c r="H14" s="137" t="s">
        <v>301</v>
      </c>
      <c r="AME14"/>
      <c r="AMF14"/>
      <c r="AMG14"/>
      <c r="AMH14"/>
      <c r="AMI14"/>
    </row>
    <row r="15" spans="1:1023" ht="15" customHeight="1">
      <c r="A15" s="31" t="s">
        <v>11</v>
      </c>
      <c r="B15" s="138" t="s">
        <v>193</v>
      </c>
      <c r="C15" s="138" t="s">
        <v>185</v>
      </c>
      <c r="D15" s="138" t="s">
        <v>186</v>
      </c>
      <c r="E15" s="138" t="s">
        <v>292</v>
      </c>
      <c r="F15" s="138" t="s">
        <v>207</v>
      </c>
      <c r="G15" s="138" t="s">
        <v>259</v>
      </c>
      <c r="H15" s="138" t="s">
        <v>305</v>
      </c>
      <c r="AME15"/>
      <c r="AMF15"/>
      <c r="AMG15"/>
      <c r="AMH15"/>
      <c r="AMI15"/>
    </row>
    <row r="16" spans="1:1023" ht="15" customHeight="1">
      <c r="A16" s="31" t="s">
        <v>12</v>
      </c>
      <c r="B16" s="136" t="s">
        <v>197</v>
      </c>
      <c r="C16" s="136" t="s">
        <v>187</v>
      </c>
      <c r="D16" s="136" t="s">
        <v>188</v>
      </c>
      <c r="E16" s="139" t="s">
        <v>194</v>
      </c>
      <c r="F16" s="136" t="s">
        <v>208</v>
      </c>
      <c r="G16" s="136" t="s">
        <v>260</v>
      </c>
      <c r="H16" s="136" t="s">
        <v>302</v>
      </c>
      <c r="AME16"/>
      <c r="AMF16"/>
      <c r="AMG16"/>
      <c r="AMH16"/>
      <c r="AMI16"/>
    </row>
    <row r="17" spans="1:1023" ht="15" customHeight="1">
      <c r="A17" s="31" t="s">
        <v>13</v>
      </c>
      <c r="B17" s="136" t="s">
        <v>196</v>
      </c>
      <c r="C17" s="136" t="s">
        <v>189</v>
      </c>
      <c r="D17" s="136" t="s">
        <v>190</v>
      </c>
      <c r="E17" s="139" t="s">
        <v>195</v>
      </c>
      <c r="F17" s="136" t="s">
        <v>209</v>
      </c>
      <c r="G17" s="136" t="s">
        <v>261</v>
      </c>
      <c r="H17" s="136" t="s">
        <v>303</v>
      </c>
      <c r="AME17"/>
      <c r="AMF17"/>
      <c r="AMG17"/>
      <c r="AMH17"/>
      <c r="AMI17"/>
    </row>
    <row r="18" spans="1:1023" ht="15" customHeight="1">
      <c r="A18" s="31" t="s">
        <v>64</v>
      </c>
      <c r="B18" s="135" t="s">
        <v>294</v>
      </c>
      <c r="C18" s="135" t="s">
        <v>295</v>
      </c>
      <c r="D18" s="135" t="s">
        <v>298</v>
      </c>
      <c r="E18" s="135" t="s">
        <v>290</v>
      </c>
      <c r="F18" s="135" t="s">
        <v>299</v>
      </c>
      <c r="G18" s="135" t="s">
        <v>289</v>
      </c>
      <c r="H18" s="135" t="s">
        <v>304</v>
      </c>
      <c r="AME18"/>
      <c r="AMF18"/>
      <c r="AMG18"/>
      <c r="AMH18"/>
      <c r="AMI18"/>
    </row>
    <row r="19" spans="1:1023" ht="15" customHeight="1"/>
    <row r="20" spans="1:1023" ht="15" customHeight="1">
      <c r="AMI20"/>
    </row>
    <row r="21" spans="1:1023" ht="15" customHeight="1"/>
    <row r="22" spans="1:1023" ht="15" customHeight="1"/>
    <row r="23" spans="1:1023" ht="15" customHeight="1">
      <c r="A23" s="3"/>
      <c r="E23" s="1"/>
      <c r="AMF23"/>
      <c r="AMG23"/>
      <c r="AMH23"/>
      <c r="AMI23"/>
    </row>
    <row r="24" spans="1:1023" ht="15" customHeight="1">
      <c r="A24" s="3"/>
      <c r="E24" s="1"/>
      <c r="AMF24"/>
      <c r="AMG24"/>
      <c r="AMH24"/>
      <c r="AMI24"/>
    </row>
    <row r="25" spans="1:1023" ht="15" customHeight="1">
      <c r="A25" s="3"/>
      <c r="E25" s="1"/>
      <c r="AMF25"/>
      <c r="AMG25"/>
      <c r="AMH25"/>
      <c r="AMI25"/>
    </row>
    <row r="26" spans="1:1023" ht="15" customHeight="1">
      <c r="A26" s="3"/>
      <c r="E26" s="1"/>
      <c r="AMF26"/>
      <c r="AMG26"/>
      <c r="AMH26"/>
      <c r="AMI26"/>
    </row>
    <row r="27" spans="1:1023" ht="15" customHeight="1">
      <c r="A27" s="3"/>
      <c r="E27" s="1"/>
      <c r="AMF27"/>
      <c r="AMG27"/>
      <c r="AMH27"/>
      <c r="AMI27"/>
    </row>
    <row r="28" spans="1:1023" ht="15" customHeight="1">
      <c r="A28" s="3"/>
      <c r="E28" s="1"/>
      <c r="AMF28"/>
      <c r="AMG28"/>
      <c r="AMH28"/>
      <c r="AMI28"/>
    </row>
    <row r="29" spans="1:1023" ht="15" customHeight="1">
      <c r="A29" s="3"/>
      <c r="E29" s="1"/>
      <c r="AMF29"/>
      <c r="AMG29"/>
      <c r="AMH29"/>
      <c r="AMI29"/>
    </row>
    <row r="30" spans="1:1023" ht="15" customHeight="1"/>
    <row r="31" spans="1:1023" ht="15" customHeight="1"/>
    <row r="32" spans="1:102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spans="5:5" ht="15" customHeight="1"/>
    <row r="65522" spans="5:5" ht="15" customHeight="1"/>
    <row r="65523" spans="5:5" ht="15" customHeight="1"/>
    <row r="65524" spans="5:5" ht="15" customHeight="1"/>
    <row r="65525" spans="5:5" ht="15" customHeight="1"/>
    <row r="65526" spans="5:5" ht="15" customHeight="1">
      <c r="E65526" s="4"/>
    </row>
  </sheetData>
  <hyperlinks>
    <hyperlink ref="E13" r:id="rId1" xr:uid="{00000000-0004-0000-0000-000000000000}"/>
    <hyperlink ref="E15" r:id="rId2" xr:uid="{00000000-0004-0000-0000-000001000000}"/>
    <hyperlink ref="D13" r:id="rId3" xr:uid="{00000000-0004-0000-0000-000002000000}"/>
    <hyperlink ref="D15" r:id="rId4" xr:uid="{00000000-0004-0000-0000-000003000000}"/>
    <hyperlink ref="C13" r:id="rId5" xr:uid="{00000000-0004-0000-0000-000004000000}"/>
    <hyperlink ref="C15" r:id="rId6" xr:uid="{00000000-0004-0000-0000-000005000000}"/>
    <hyperlink ref="B13" r:id="rId7" xr:uid="{00000000-0004-0000-0000-000006000000}"/>
    <hyperlink ref="B15" r:id="rId8" xr:uid="{00000000-0004-0000-0000-000007000000}"/>
    <hyperlink ref="F13" r:id="rId9" xr:uid="{00000000-0004-0000-0000-000008000000}"/>
    <hyperlink ref="F15" r:id="rId10" xr:uid="{00000000-0004-0000-0000-000009000000}"/>
    <hyperlink ref="G13" r:id="rId11" display="javascript:top.openWin('%2FWorldClient.dll%3FSession%3DYFD3KQ591HSI2%26View%3DCompose%26New%3DYes%26To%3Dghiano%2540caat.it','Compose',800,600,'yes');" xr:uid="{00000000-0004-0000-0000-00000A000000}"/>
    <hyperlink ref="G15" r:id="rId12" xr:uid="{00000000-0004-0000-0000-00000B000000}"/>
    <hyperlink ref="H13" r:id="rId13" xr:uid="{00000000-0004-0000-0000-00000C000000}"/>
    <hyperlink ref="H15" r:id="rId14" xr:uid="{00000000-0004-0000-0000-00000D000000}"/>
  </hyperlinks>
  <pageMargins left="0.7" right="0.7" top="1.1437007874015748" bottom="1.1437007874015748" header="0.75" footer="0.75"/>
  <pageSetup paperSize="9" fitToWidth="0" fitToHeight="0" orientation="portrait" r:id="rId1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5536"/>
  <sheetViews>
    <sheetView workbookViewId="0">
      <selection activeCell="C3" sqref="C3"/>
    </sheetView>
  </sheetViews>
  <sheetFormatPr defaultRowHeight="15"/>
  <cols>
    <col min="1" max="1" width="41.375" style="1" bestFit="1" customWidth="1"/>
    <col min="2" max="2" width="36.25" style="1" customWidth="1"/>
    <col min="3" max="3" width="17.75" style="2" customWidth="1"/>
    <col min="4" max="4" width="18.25" style="1" customWidth="1"/>
    <col min="5" max="5" width="44" style="1" bestFit="1" customWidth="1"/>
    <col min="6" max="1024" width="6.375" style="1" customWidth="1"/>
  </cols>
  <sheetData>
    <row r="1" spans="1:5 1025:1025" ht="15" customHeight="1">
      <c r="A1" s="39" t="s">
        <v>14</v>
      </c>
      <c r="B1" s="39" t="s">
        <v>66</v>
      </c>
      <c r="C1" s="212"/>
      <c r="D1" s="212"/>
      <c r="E1" s="39" t="s">
        <v>84</v>
      </c>
      <c r="AMK1" s="1"/>
    </row>
    <row r="2" spans="1:5 1025:1025" ht="57.6" customHeight="1">
      <c r="A2" s="43" t="s">
        <v>124</v>
      </c>
      <c r="B2" s="43" t="s">
        <v>125</v>
      </c>
      <c r="C2" s="214" t="s">
        <v>286</v>
      </c>
      <c r="D2" s="215"/>
      <c r="E2" s="43" t="s">
        <v>46</v>
      </c>
      <c r="AMK2" s="1"/>
    </row>
    <row r="3" spans="1:5 1025:1025" ht="30" customHeight="1">
      <c r="A3" s="7" t="s">
        <v>280</v>
      </c>
      <c r="B3" s="40" t="s">
        <v>67</v>
      </c>
      <c r="C3" s="127">
        <v>43831</v>
      </c>
      <c r="D3" s="127">
        <v>44196</v>
      </c>
      <c r="E3" s="7" t="s">
        <v>46</v>
      </c>
      <c r="AMK3" s="1"/>
    </row>
    <row r="4" spans="1:5 1025:1025" ht="30" customHeight="1">
      <c r="A4" s="79" t="s">
        <v>281</v>
      </c>
      <c r="B4" s="40" t="s">
        <v>67</v>
      </c>
      <c r="C4" s="127">
        <v>43891</v>
      </c>
      <c r="D4" s="127">
        <v>44255</v>
      </c>
      <c r="E4" s="79" t="s">
        <v>46</v>
      </c>
      <c r="AMK4" s="1"/>
    </row>
    <row r="5" spans="1:5 1025:1025" ht="15" customHeight="1">
      <c r="A5" s="7" t="s">
        <v>16</v>
      </c>
      <c r="B5" s="7" t="s">
        <v>130</v>
      </c>
      <c r="C5" s="133" t="s">
        <v>133</v>
      </c>
      <c r="D5" s="132"/>
      <c r="E5" s="7" t="s">
        <v>131</v>
      </c>
      <c r="AMK5" s="1"/>
    </row>
    <row r="6" spans="1:5 1025:1025" ht="15" customHeight="1">
      <c r="A6" s="7" t="s">
        <v>17</v>
      </c>
      <c r="B6" s="7" t="s">
        <v>47</v>
      </c>
      <c r="C6" s="213" t="s">
        <v>134</v>
      </c>
      <c r="D6" s="213"/>
      <c r="E6" s="7" t="s">
        <v>85</v>
      </c>
      <c r="AMK6" s="1"/>
    </row>
    <row r="7" spans="1:5 1025:1025" ht="15" customHeight="1">
      <c r="A7" s="7" t="s">
        <v>69</v>
      </c>
      <c r="B7" s="7" t="s">
        <v>18</v>
      </c>
      <c r="C7" s="131" t="s">
        <v>82</v>
      </c>
      <c r="D7" s="130"/>
      <c r="E7" s="7" t="s">
        <v>82</v>
      </c>
      <c r="AMK7" s="1"/>
    </row>
    <row r="8" spans="1:5 1025:1025" ht="15" customHeight="1">
      <c r="A8" s="7" t="s">
        <v>55</v>
      </c>
      <c r="B8" s="7" t="s">
        <v>18</v>
      </c>
      <c r="C8" s="131" t="s">
        <v>135</v>
      </c>
      <c r="D8" s="130"/>
      <c r="E8" s="7" t="s">
        <v>82</v>
      </c>
      <c r="AMK8" s="1"/>
    </row>
    <row r="9" spans="1:5 1025:1025" ht="15" customHeight="1">
      <c r="A9" s="7" t="s">
        <v>48</v>
      </c>
      <c r="B9" s="7" t="s">
        <v>18</v>
      </c>
      <c r="C9" s="131" t="s">
        <v>83</v>
      </c>
      <c r="D9" s="130"/>
      <c r="E9" s="7" t="s">
        <v>49</v>
      </c>
      <c r="AMK9" s="1"/>
    </row>
    <row r="10" spans="1:5 1025:1025" ht="15" customHeight="1">
      <c r="A10" s="7" t="s">
        <v>19</v>
      </c>
      <c r="B10" s="7" t="s">
        <v>50</v>
      </c>
      <c r="C10" s="134" t="s">
        <v>132</v>
      </c>
      <c r="D10" s="134"/>
      <c r="E10" s="7" t="s">
        <v>46</v>
      </c>
      <c r="AMK10" s="1"/>
    </row>
    <row r="11" spans="1:5 1025:1025" ht="15" customHeight="1">
      <c r="A11" s="7" t="s">
        <v>15</v>
      </c>
      <c r="B11" s="40" t="s">
        <v>68</v>
      </c>
      <c r="C11" s="134" t="s">
        <v>136</v>
      </c>
      <c r="D11" s="134"/>
      <c r="E11" s="7" t="s">
        <v>79</v>
      </c>
      <c r="AMK11" s="1"/>
    </row>
    <row r="12" spans="1:5 1025:1025" ht="15" customHeight="1">
      <c r="A12" s="7" t="s">
        <v>73</v>
      </c>
      <c r="B12" s="7"/>
      <c r="C12" s="213" t="s">
        <v>83</v>
      </c>
      <c r="D12" s="213"/>
      <c r="E12" s="7" t="s">
        <v>46</v>
      </c>
      <c r="AMK12" s="1"/>
    </row>
    <row r="13" spans="1:5 1025:1025" ht="15" customHeight="1">
      <c r="A13" s="8" t="s">
        <v>20</v>
      </c>
      <c r="B13" s="7" t="s">
        <v>21</v>
      </c>
      <c r="C13" s="213" t="s">
        <v>83</v>
      </c>
      <c r="D13" s="213"/>
      <c r="E13" s="8" t="s">
        <v>46</v>
      </c>
      <c r="AMK13" s="1"/>
    </row>
    <row r="14" spans="1:5 1025:1025" ht="15" customHeight="1">
      <c r="A14" s="36" t="s">
        <v>81</v>
      </c>
      <c r="B14" s="36" t="s">
        <v>18</v>
      </c>
      <c r="C14" s="213" t="s">
        <v>83</v>
      </c>
      <c r="D14" s="213"/>
      <c r="E14" s="8" t="s">
        <v>83</v>
      </c>
      <c r="AMK14" s="1"/>
    </row>
    <row r="15" spans="1:5 1025:1025" ht="15" customHeight="1">
      <c r="A15" s="7" t="s">
        <v>74</v>
      </c>
      <c r="B15" s="7"/>
      <c r="C15" s="129" t="s">
        <v>77</v>
      </c>
      <c r="D15" s="129" t="s">
        <v>78</v>
      </c>
      <c r="E15" s="7" t="s">
        <v>75</v>
      </c>
    </row>
    <row r="16" spans="1:5 1025:1025" ht="15" customHeight="1">
      <c r="A16" s="79" t="s">
        <v>90</v>
      </c>
      <c r="B16" s="79" t="s">
        <v>18</v>
      </c>
      <c r="C16" s="128" t="s">
        <v>83</v>
      </c>
      <c r="D16" s="128"/>
      <c r="E16" s="79" t="s">
        <v>46</v>
      </c>
    </row>
    <row r="17" spans="1:1024" ht="15" customHeight="1">
      <c r="A17" s="79" t="s">
        <v>137</v>
      </c>
      <c r="B17" s="79"/>
      <c r="C17" s="211" t="s">
        <v>138</v>
      </c>
      <c r="D17" s="211"/>
      <c r="E17" s="79"/>
    </row>
    <row r="18" spans="1:1024" ht="15" customHeight="1">
      <c r="AMJ18"/>
    </row>
    <row r="19" spans="1:1024" ht="15" customHeight="1">
      <c r="C19" s="1"/>
      <c r="AME19"/>
      <c r="AMF19"/>
      <c r="AMG19"/>
      <c r="AMH19"/>
      <c r="AMI19"/>
      <c r="AMJ19"/>
    </row>
    <row r="20" spans="1:1024" ht="15" customHeight="1">
      <c r="C20" s="1"/>
      <c r="AME20"/>
      <c r="AMF20"/>
      <c r="AMG20"/>
      <c r="AMH20"/>
      <c r="AMI20"/>
      <c r="AMJ20"/>
    </row>
    <row r="21" spans="1:1024" ht="15" customHeight="1">
      <c r="C21" s="1"/>
      <c r="AME21"/>
      <c r="AMF21"/>
      <c r="AMG21"/>
      <c r="AMH21"/>
      <c r="AMI21"/>
      <c r="AMJ21"/>
    </row>
    <row r="22" spans="1:1024" ht="15" customHeight="1">
      <c r="C22" s="1"/>
      <c r="AME22"/>
      <c r="AMF22"/>
      <c r="AMG22"/>
      <c r="AMH22"/>
      <c r="AMI22"/>
      <c r="AMJ22"/>
    </row>
    <row r="23" spans="1:1024" ht="15" customHeight="1">
      <c r="C23" s="1"/>
      <c r="AME23"/>
      <c r="AMF23"/>
      <c r="AMG23"/>
      <c r="AMH23"/>
      <c r="AMI23"/>
      <c r="AMJ23"/>
    </row>
    <row r="24" spans="1:1024" ht="15" customHeight="1">
      <c r="C24" s="1"/>
      <c r="AME24"/>
      <c r="AMF24"/>
      <c r="AMG24"/>
      <c r="AMH24"/>
      <c r="AMI24"/>
      <c r="AMJ24"/>
    </row>
    <row r="25" spans="1:1024" ht="15" customHeight="1">
      <c r="C25" s="1"/>
      <c r="AME25"/>
      <c r="AMF25"/>
      <c r="AMG25"/>
      <c r="AMH25"/>
      <c r="AMI25"/>
      <c r="AMJ25"/>
    </row>
    <row r="26" spans="1:1024" ht="15" customHeight="1">
      <c r="C26" s="1"/>
      <c r="AME26"/>
      <c r="AMF26"/>
      <c r="AMG26"/>
      <c r="AMH26"/>
      <c r="AMI26"/>
      <c r="AMJ26"/>
    </row>
    <row r="27" spans="1:1024" ht="15" customHeight="1">
      <c r="C27" s="1"/>
      <c r="AME27"/>
      <c r="AMF27"/>
      <c r="AMG27"/>
      <c r="AMH27"/>
      <c r="AMI27"/>
      <c r="AMJ27"/>
    </row>
    <row r="28" spans="1:1024" ht="15" customHeight="1">
      <c r="C28" s="1"/>
      <c r="AME28"/>
      <c r="AMF28"/>
      <c r="AMG28"/>
      <c r="AMH28"/>
      <c r="AMI28"/>
      <c r="AMJ28"/>
    </row>
    <row r="29" spans="1:1024" ht="15" customHeight="1">
      <c r="C29" s="1"/>
      <c r="AME29"/>
      <c r="AMF29"/>
      <c r="AMG29"/>
      <c r="AMH29"/>
      <c r="AMI29"/>
      <c r="AMJ29"/>
    </row>
    <row r="30" spans="1:1024" ht="15" customHeight="1">
      <c r="C30" s="1"/>
      <c r="AME30"/>
      <c r="AMF30"/>
      <c r="AMG30"/>
      <c r="AMH30"/>
      <c r="AMI30"/>
      <c r="AMJ30"/>
    </row>
    <row r="31" spans="1:1024" ht="15" customHeight="1">
      <c r="C31" s="1"/>
      <c r="AME31"/>
      <c r="AMF31"/>
      <c r="AMG31"/>
      <c r="AMH31"/>
      <c r="AMI31"/>
      <c r="AMJ31"/>
    </row>
    <row r="32" spans="1:1024" ht="15" customHeight="1">
      <c r="C32" s="1"/>
      <c r="AMF32"/>
      <c r="AMG32"/>
      <c r="AMH32"/>
      <c r="AMI32"/>
      <c r="AMJ32"/>
    </row>
    <row r="33" spans="3:1024" ht="15" customHeight="1">
      <c r="C33" s="1"/>
      <c r="AMF33"/>
      <c r="AMG33"/>
      <c r="AMH33"/>
      <c r="AMI33"/>
      <c r="AMJ33"/>
    </row>
    <row r="34" spans="3:1024" ht="15" customHeight="1">
      <c r="C34" s="1"/>
      <c r="AMF34"/>
      <c r="AMG34"/>
      <c r="AMH34"/>
      <c r="AMI34"/>
      <c r="AMJ34"/>
    </row>
    <row r="35" spans="3:1024" ht="15" customHeight="1">
      <c r="C35" s="1"/>
      <c r="AMF35"/>
      <c r="AMG35"/>
      <c r="AMH35"/>
      <c r="AMI35"/>
      <c r="AMJ35"/>
    </row>
    <row r="36" spans="3:1024" ht="15" customHeight="1"/>
    <row r="37" spans="3:1024" ht="15" customHeight="1"/>
    <row r="38" spans="3:1024" ht="15" customHeight="1"/>
    <row r="39" spans="3:1024" ht="15" customHeight="1"/>
    <row r="40" spans="3:1024" ht="15" customHeight="1"/>
    <row r="41" spans="3:1024" ht="15" customHeight="1"/>
    <row r="42" spans="3:1024" ht="15" customHeight="1"/>
    <row r="43" spans="3:1024" ht="15" customHeight="1"/>
    <row r="44" spans="3:1024" ht="15" customHeight="1"/>
    <row r="45" spans="3:1024" ht="15" customHeight="1"/>
    <row r="46" spans="3:1024" ht="15" customHeight="1"/>
    <row r="47" spans="3:1024" ht="15" customHeight="1"/>
    <row r="48" spans="3:102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5" customHeight="1"/>
    <row r="65536" ht="15" customHeight="1"/>
  </sheetData>
  <mergeCells count="7">
    <mergeCell ref="C17:D17"/>
    <mergeCell ref="C1:D1"/>
    <mergeCell ref="C6:D6"/>
    <mergeCell ref="C12:D12"/>
    <mergeCell ref="C13:D13"/>
    <mergeCell ref="C14:D14"/>
    <mergeCell ref="C2:D2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0"/>
  <sheetViews>
    <sheetView zoomScale="85" zoomScaleNormal="85" workbookViewId="0">
      <selection activeCell="H19" sqref="H19"/>
    </sheetView>
  </sheetViews>
  <sheetFormatPr defaultRowHeight="14.25"/>
  <cols>
    <col min="1" max="1" width="16.75" bestFit="1" customWidth="1"/>
    <col min="2" max="2" width="14.25" bestFit="1" customWidth="1"/>
    <col min="3" max="3" width="24.75" bestFit="1" customWidth="1"/>
    <col min="4" max="4" width="27.25" bestFit="1" customWidth="1"/>
    <col min="5" max="5" width="20" bestFit="1" customWidth="1"/>
    <col min="6" max="6" width="14.25" bestFit="1" customWidth="1"/>
    <col min="7" max="7" width="15.5" bestFit="1" customWidth="1"/>
    <col min="8" max="8" width="14.75" bestFit="1" customWidth="1"/>
    <col min="9" max="9" width="20.875" bestFit="1" customWidth="1"/>
    <col min="10" max="10" width="15.875" bestFit="1" customWidth="1"/>
    <col min="11" max="11" width="11" bestFit="1" customWidth="1"/>
    <col min="12" max="12" width="6.25" bestFit="1" customWidth="1"/>
    <col min="13" max="13" width="20.625" customWidth="1"/>
    <col min="14" max="14" width="19.75" customWidth="1"/>
    <col min="15" max="15" width="9.625" bestFit="1" customWidth="1"/>
    <col min="16" max="16" width="23.25" bestFit="1" customWidth="1"/>
    <col min="17" max="17" width="13.125" bestFit="1" customWidth="1"/>
    <col min="18" max="18" width="14.25" bestFit="1" customWidth="1"/>
    <col min="19" max="20" width="10.5" bestFit="1" customWidth="1"/>
    <col min="21" max="21" width="11.875" bestFit="1" customWidth="1"/>
    <col min="22" max="22" width="9.5" bestFit="1" customWidth="1"/>
  </cols>
  <sheetData>
    <row r="1" spans="1:16" ht="15">
      <c r="A1" s="151"/>
      <c r="B1" s="152" t="str">
        <f>Sedi!B81</f>
        <v>CENTRO AGROALIMENTARE DI NAPOLI S.C.P.A.</v>
      </c>
      <c r="C1" s="152"/>
      <c r="D1" s="152" t="str">
        <f>Sedi!AA81</f>
        <v>C.A.A.T. S.C.P.A.</v>
      </c>
      <c r="E1" s="153" t="str">
        <f>Sedi!AF81</f>
        <v>S.G.M. S.C.P.A.</v>
      </c>
      <c r="F1" s="154" t="str">
        <f>Sedi!G81</f>
        <v>C.A.R   S.C.P.A.</v>
      </c>
      <c r="G1" s="155" t="str">
        <f>Sedi!L81</f>
        <v>MERCAFIR  S.C.P.A.</v>
      </c>
      <c r="H1" s="173" t="str">
        <f>Sedi!Q81</f>
        <v>SO.GE.MI.    S.P.A.</v>
      </c>
      <c r="I1" s="45" t="str">
        <f>Sedi!V81</f>
        <v>VERONAMERCATO S.P.A.</v>
      </c>
      <c r="J1" s="188"/>
    </row>
    <row r="2" spans="1:16" ht="15">
      <c r="A2" s="157" t="s">
        <v>234</v>
      </c>
      <c r="B2" s="158" t="str">
        <f>Sedi!B83</f>
        <v>F1</v>
      </c>
      <c r="C2" s="158" t="str">
        <f>Sedi!C83</f>
        <v>F2</v>
      </c>
      <c r="D2" s="158" t="str">
        <f>Sedi!D83</f>
        <v>F3</v>
      </c>
      <c r="E2" s="159" t="s">
        <v>198</v>
      </c>
      <c r="F2" s="157" t="str">
        <f t="shared" ref="F2" si="0">A2</f>
        <v>Previsione 2018</v>
      </c>
      <c r="G2" s="158" t="str">
        <f>Sedi!G83</f>
        <v>F1</v>
      </c>
      <c r="H2" s="158" t="str">
        <f>Sedi!H83</f>
        <v>F2</v>
      </c>
      <c r="I2" s="158" t="str">
        <f>Sedi!I83</f>
        <v>F3</v>
      </c>
      <c r="J2" s="159" t="s">
        <v>198</v>
      </c>
      <c r="K2" s="114"/>
      <c r="L2" s="114"/>
    </row>
    <row r="3" spans="1:16" ht="15">
      <c r="A3" s="157" t="str">
        <f>Sedi!A84</f>
        <v>gennaio</v>
      </c>
      <c r="B3" s="158">
        <f>ROUND(Sedi!B84+Sedi!AA84+Sedi!AF84,0)</f>
        <v>308074</v>
      </c>
      <c r="C3" s="158">
        <f>ROUND(Sedi!C84+Sedi!AB84+Sedi!AG84,0)</f>
        <v>209316</v>
      </c>
      <c r="D3" s="158">
        <f>ROUND(Sedi!D84+Sedi!AC84+Sedi!AH84,0)</f>
        <v>464047</v>
      </c>
      <c r="E3" s="159">
        <f t="shared" ref="E3:E14" si="1">SUM(B3:D3)</f>
        <v>981437</v>
      </c>
      <c r="F3" s="157" t="str">
        <f t="shared" ref="F3:F12" si="2">A5</f>
        <v>marzo</v>
      </c>
      <c r="G3" s="158">
        <f>ROUND(Sedi!G86+Sedi!L86+Sedi!Q86+Sedi!V86,0)</f>
        <v>846693</v>
      </c>
      <c r="H3" s="158">
        <f>ROUND(Sedi!H86+Sedi!M86+Sedi!R86+Sedi!W86,0)</f>
        <v>609132</v>
      </c>
      <c r="I3" s="158">
        <f>ROUND(Sedi!I86+Sedi!N86+Sedi!S86+Sedi!X86,0)</f>
        <v>1094476</v>
      </c>
      <c r="J3" s="159">
        <f t="shared" ref="J3:J14" si="3">SUM(G3:I3)</f>
        <v>2550301</v>
      </c>
      <c r="K3" s="114"/>
      <c r="L3" s="114"/>
    </row>
    <row r="4" spans="1:16" ht="15">
      <c r="A4" s="157" t="str">
        <f>Sedi!A85</f>
        <v>febbraio</v>
      </c>
      <c r="B4" s="158">
        <f>ROUND(Sedi!B85+Sedi!AA85+Sedi!AF85,0)</f>
        <v>301623</v>
      </c>
      <c r="C4" s="158">
        <f>ROUND(Sedi!C85+Sedi!AB85+Sedi!AG85,0)</f>
        <v>206951</v>
      </c>
      <c r="D4" s="158">
        <f>ROUND(Sedi!D85+Sedi!AC85+Sedi!AH85,0)</f>
        <v>408568</v>
      </c>
      <c r="E4" s="159">
        <f t="shared" si="1"/>
        <v>917142</v>
      </c>
      <c r="F4" s="157" t="str">
        <f t="shared" si="2"/>
        <v>aprile</v>
      </c>
      <c r="G4" s="158">
        <f>ROUND(Sedi!G87+Sedi!L87+Sedi!Q87+Sedi!V87,0)</f>
        <v>768010</v>
      </c>
      <c r="H4" s="158">
        <f>ROUND(Sedi!H87+Sedi!M87+Sedi!R87+Sedi!W87,0)</f>
        <v>579455</v>
      </c>
      <c r="I4" s="158">
        <f>ROUND(Sedi!I87+Sedi!N87+Sedi!S87+Sedi!X87,0)</f>
        <v>1175347</v>
      </c>
      <c r="J4" s="159">
        <f t="shared" si="3"/>
        <v>2522812</v>
      </c>
      <c r="K4" s="114"/>
      <c r="L4" s="114"/>
    </row>
    <row r="5" spans="1:16" ht="15">
      <c r="A5" s="157" t="str">
        <f>Sedi!A86</f>
        <v>marzo</v>
      </c>
      <c r="B5" s="158">
        <f>ROUND(Sedi!B86+Sedi!AA86+Sedi!AF86,0)</f>
        <v>347149</v>
      </c>
      <c r="C5" s="158">
        <f>ROUND(Sedi!C86+Sedi!AB86+Sedi!AG86,0)</f>
        <v>235698</v>
      </c>
      <c r="D5" s="158">
        <f>ROUND(Sedi!D86+Sedi!AC86+Sedi!AH86,0)</f>
        <v>458410</v>
      </c>
      <c r="E5" s="159">
        <f t="shared" si="1"/>
        <v>1041257</v>
      </c>
      <c r="F5" s="157" t="str">
        <f t="shared" si="2"/>
        <v>maggio</v>
      </c>
      <c r="G5" s="158">
        <f>ROUND(Sedi!G88+Sedi!L88+Sedi!Q88+Sedi!V88,0)</f>
        <v>944187</v>
      </c>
      <c r="H5" s="158">
        <f>ROUND(Sedi!H88+Sedi!M88+Sedi!R88+Sedi!W88,0)</f>
        <v>692660</v>
      </c>
      <c r="I5" s="158">
        <f>ROUND(Sedi!I88+Sedi!N88+Sedi!S88+Sedi!X88,0)</f>
        <v>1275574</v>
      </c>
      <c r="J5" s="159">
        <f t="shared" si="3"/>
        <v>2912421</v>
      </c>
      <c r="K5" s="114"/>
      <c r="L5" s="114"/>
    </row>
    <row r="6" spans="1:16" ht="15">
      <c r="A6" s="157" t="str">
        <f>Sedi!A87</f>
        <v>aprile</v>
      </c>
      <c r="B6" s="158">
        <f>ROUND(Sedi!B87+Sedi!AA87+Sedi!AF87,0)</f>
        <v>332991</v>
      </c>
      <c r="C6" s="158">
        <f>ROUND(Sedi!C87+Sedi!AB87+Sedi!AG87,0)</f>
        <v>229529</v>
      </c>
      <c r="D6" s="158">
        <f>ROUND(Sedi!D87+Sedi!AC87+Sedi!AH87,0)</f>
        <v>491609</v>
      </c>
      <c r="E6" s="159">
        <f t="shared" si="1"/>
        <v>1054129</v>
      </c>
      <c r="F6" s="157" t="str">
        <f t="shared" si="2"/>
        <v>giugno</v>
      </c>
      <c r="G6" s="158">
        <f>ROUND(Sedi!G89+Sedi!L89+Sedi!Q89+Sedi!V89,0)</f>
        <v>1110817</v>
      </c>
      <c r="H6" s="158">
        <f>ROUND(Sedi!H89+Sedi!M89+Sedi!R89+Sedi!W89,0)</f>
        <v>746419</v>
      </c>
      <c r="I6" s="158">
        <f>ROUND(Sedi!I89+Sedi!N89+Sedi!S89+Sedi!X89,0)</f>
        <v>1368028</v>
      </c>
      <c r="J6" s="159">
        <f t="shared" si="3"/>
        <v>3225264</v>
      </c>
      <c r="K6" s="114"/>
      <c r="L6" s="114"/>
    </row>
    <row r="7" spans="1:16" ht="15">
      <c r="A7" s="157" t="str">
        <f>Sedi!A88</f>
        <v>maggio</v>
      </c>
      <c r="B7" s="158">
        <f>ROUND(Sedi!B88+Sedi!AA88+Sedi!AF88,0)</f>
        <v>415184</v>
      </c>
      <c r="C7" s="158">
        <f>ROUND(Sedi!C88+Sedi!AB88+Sedi!AG88,0)</f>
        <v>271235</v>
      </c>
      <c r="D7" s="158">
        <f>ROUND(Sedi!D88+Sedi!AC88+Sedi!AH88,0)</f>
        <v>523297</v>
      </c>
      <c r="E7" s="159">
        <f t="shared" si="1"/>
        <v>1209716</v>
      </c>
      <c r="F7" s="157" t="str">
        <f t="shared" si="2"/>
        <v>luglio</v>
      </c>
      <c r="G7" s="158">
        <f>ROUND(Sedi!G90+Sedi!L90+Sedi!Q90+Sedi!V90,0)</f>
        <v>1335478</v>
      </c>
      <c r="H7" s="158">
        <f>ROUND(Sedi!H90+Sedi!M90+Sedi!R90+Sedi!W90,0)</f>
        <v>892489</v>
      </c>
      <c r="I7" s="158">
        <f>ROUND(Sedi!I90+Sedi!N90+Sedi!S90+Sedi!X90,0)</f>
        <v>1524553</v>
      </c>
      <c r="J7" s="159">
        <f t="shared" si="3"/>
        <v>3752520</v>
      </c>
      <c r="K7" s="114"/>
      <c r="L7" s="114"/>
    </row>
    <row r="8" spans="1:16" ht="15">
      <c r="A8" s="157" t="str">
        <f>Sedi!A89</f>
        <v>giugno</v>
      </c>
      <c r="B8" s="158">
        <f>ROUND(Sedi!B89+Sedi!AA89+Sedi!AF89,0)</f>
        <v>485886</v>
      </c>
      <c r="C8" s="158">
        <f>ROUND(Sedi!C89+Sedi!AB89+Sedi!AG89,0)</f>
        <v>302226</v>
      </c>
      <c r="D8" s="158">
        <f>ROUND(Sedi!D89+Sedi!AC89+Sedi!AH89,0)</f>
        <v>560309</v>
      </c>
      <c r="E8" s="159">
        <f t="shared" si="1"/>
        <v>1348421</v>
      </c>
      <c r="F8" s="157" t="str">
        <f t="shared" si="2"/>
        <v>agosto</v>
      </c>
      <c r="G8" s="158">
        <f>ROUND(Sedi!G91+Sedi!L91+Sedi!Q91+Sedi!V91,0)</f>
        <v>1165014</v>
      </c>
      <c r="H8" s="158">
        <f>ROUND(Sedi!H91+Sedi!M91+Sedi!R91+Sedi!W91,0)</f>
        <v>797731</v>
      </c>
      <c r="I8" s="158">
        <f>ROUND(Sedi!I91+Sedi!N91+Sedi!S91+Sedi!X91,0)</f>
        <v>1469913</v>
      </c>
      <c r="J8" s="159">
        <f t="shared" si="3"/>
        <v>3432658</v>
      </c>
      <c r="K8" s="114"/>
      <c r="L8" s="114"/>
      <c r="N8" s="216" t="str">
        <f>A16</f>
        <v>LOTTO 1</v>
      </c>
      <c r="O8" s="217"/>
      <c r="P8" s="217"/>
    </row>
    <row r="9" spans="1:16" ht="15">
      <c r="A9" s="157" t="str">
        <f>Sedi!A90</f>
        <v>luglio</v>
      </c>
      <c r="B9" s="158">
        <f>ROUND(Sedi!B90+Sedi!AA90+Sedi!AF90,0)</f>
        <v>556475</v>
      </c>
      <c r="C9" s="158">
        <f>ROUND(Sedi!C90+Sedi!AB90+Sedi!AG90,0)</f>
        <v>343260</v>
      </c>
      <c r="D9" s="158">
        <f>ROUND(Sedi!D90+Sedi!AC90+Sedi!AH90,0)</f>
        <v>610229</v>
      </c>
      <c r="E9" s="159">
        <f t="shared" si="1"/>
        <v>1509964</v>
      </c>
      <c r="F9" s="157" t="str">
        <f t="shared" si="2"/>
        <v>settembre</v>
      </c>
      <c r="G9" s="158">
        <f>ROUND(Sedi!G92+Sedi!L92+Sedi!Q92+Sedi!V92,0)</f>
        <v>1018079</v>
      </c>
      <c r="H9" s="158">
        <f>ROUND(Sedi!H92+Sedi!M92+Sedi!R92+Sedi!W92,0)</f>
        <v>736032</v>
      </c>
      <c r="I9" s="158">
        <f>ROUND(Sedi!I92+Sedi!N92+Sedi!S92+Sedi!X92,0)</f>
        <v>1269726</v>
      </c>
      <c r="J9" s="159">
        <f t="shared" si="3"/>
        <v>3023837</v>
      </c>
      <c r="K9" s="114"/>
      <c r="L9" s="114"/>
    </row>
    <row r="10" spans="1:16" ht="15">
      <c r="A10" s="157" t="str">
        <f>Sedi!A91</f>
        <v>agosto</v>
      </c>
      <c r="B10" s="158">
        <f>ROUND(Sedi!B91+Sedi!AA91+Sedi!AF91,0)</f>
        <v>506580</v>
      </c>
      <c r="C10" s="158">
        <f>ROUND(Sedi!C91+Sedi!AB91+Sedi!AG91,0)</f>
        <v>313529</v>
      </c>
      <c r="D10" s="158">
        <f>ROUND(Sedi!D91+Sedi!AC91+Sedi!AH91,0)</f>
        <v>586919</v>
      </c>
      <c r="E10" s="159">
        <f t="shared" si="1"/>
        <v>1407028</v>
      </c>
      <c r="F10" s="157" t="str">
        <f t="shared" si="2"/>
        <v>ottobre</v>
      </c>
      <c r="G10" s="158">
        <f>ROUND(Sedi!G93+Sedi!L93+Sedi!Q93+Sedi!V93,0)</f>
        <v>854015</v>
      </c>
      <c r="H10" s="158">
        <f>ROUND(Sedi!H93+Sedi!M93+Sedi!R93+Sedi!W93,0)</f>
        <v>655697</v>
      </c>
      <c r="I10" s="158">
        <f>ROUND(Sedi!I93+Sedi!N93+Sedi!S93+Sedi!X93,0)</f>
        <v>1162919</v>
      </c>
      <c r="J10" s="159">
        <f t="shared" si="3"/>
        <v>2672631</v>
      </c>
      <c r="K10" s="114"/>
      <c r="L10" s="114"/>
    </row>
    <row r="11" spans="1:16" ht="15">
      <c r="A11" s="157" t="str">
        <f>Sedi!A92</f>
        <v>settembre</v>
      </c>
      <c r="B11" s="158">
        <f>ROUND(Sedi!B92+Sedi!AA92+Sedi!AF92,0)</f>
        <v>433722</v>
      </c>
      <c r="C11" s="158">
        <f>ROUND(Sedi!C92+Sedi!AB92+Sedi!AG92,0)</f>
        <v>293362</v>
      </c>
      <c r="D11" s="158">
        <f>ROUND(Sedi!D92+Sedi!AC92+Sedi!AH92,0)</f>
        <v>502213</v>
      </c>
      <c r="E11" s="159">
        <f t="shared" si="1"/>
        <v>1229297</v>
      </c>
      <c r="F11" s="157" t="str">
        <f t="shared" si="2"/>
        <v>novembre</v>
      </c>
      <c r="G11" s="158">
        <f>ROUND(Sedi!G94+Sedi!L94+Sedi!Q94+Sedi!V94,0)</f>
        <v>728617</v>
      </c>
      <c r="H11" s="158">
        <f>ROUND(Sedi!H94+Sedi!M94+Sedi!R94+Sedi!W94,0)</f>
        <v>558913</v>
      </c>
      <c r="I11" s="158">
        <f>ROUND(Sedi!I94+Sedi!N94+Sedi!S94+Sedi!X94,0)</f>
        <v>930158</v>
      </c>
      <c r="J11" s="159">
        <f t="shared" si="3"/>
        <v>2217688</v>
      </c>
      <c r="K11" s="114"/>
      <c r="L11" s="114"/>
    </row>
    <row r="12" spans="1:16" ht="15">
      <c r="A12" s="157" t="str">
        <f>Sedi!A93</f>
        <v>ottobre</v>
      </c>
      <c r="B12" s="158">
        <f>ROUND(Sedi!B93+Sedi!AA93+Sedi!AF93,0)</f>
        <v>386632</v>
      </c>
      <c r="C12" s="158">
        <f>ROUND(Sedi!C93+Sedi!AB93+Sedi!AG93,0)</f>
        <v>263985</v>
      </c>
      <c r="D12" s="158">
        <f>ROUND(Sedi!D93+Sedi!AC93+Sedi!AH93,0)</f>
        <v>497902</v>
      </c>
      <c r="E12" s="159">
        <f t="shared" si="1"/>
        <v>1148519</v>
      </c>
      <c r="F12" s="157" t="str">
        <f t="shared" si="2"/>
        <v>dicembre</v>
      </c>
      <c r="G12" s="158">
        <f>ROUND(Sedi!G95+Sedi!L95+Sedi!Q95+Sedi!V95,0)</f>
        <v>744738</v>
      </c>
      <c r="H12" s="158">
        <f>ROUND(Sedi!H95+Sedi!M95+Sedi!R95+Sedi!W95,0)</f>
        <v>495496</v>
      </c>
      <c r="I12" s="158">
        <f>ROUND(Sedi!I95+Sedi!N95+Sedi!S95+Sedi!X95,0)</f>
        <v>1011830</v>
      </c>
      <c r="J12" s="159">
        <f t="shared" si="3"/>
        <v>2252064</v>
      </c>
      <c r="K12" s="114"/>
      <c r="L12" s="114"/>
      <c r="M12" s="166"/>
    </row>
    <row r="13" spans="1:16" ht="15">
      <c r="A13" s="157" t="str">
        <f>Sedi!A94</f>
        <v>novembre</v>
      </c>
      <c r="B13" s="158">
        <f>ROUND(Sedi!B94+Sedi!AA94+Sedi!AF94,0)</f>
        <v>346200</v>
      </c>
      <c r="C13" s="158">
        <f>ROUND(Sedi!C94+Sedi!AB94+Sedi!AG94,0)</f>
        <v>231056</v>
      </c>
      <c r="D13" s="158">
        <f>ROUND(Sedi!D94+Sedi!AC94+Sedi!AH94,0)</f>
        <v>472613</v>
      </c>
      <c r="E13" s="159">
        <f t="shared" si="1"/>
        <v>1049869</v>
      </c>
      <c r="F13" s="157" t="str">
        <f>A3</f>
        <v>gennaio</v>
      </c>
      <c r="G13" s="158">
        <f>ROUND(Sedi!G84+Sedi!L84+Sedi!Q84+Sedi!V84,0)</f>
        <v>831991</v>
      </c>
      <c r="H13" s="158">
        <f>ROUND(Sedi!H84+Sedi!M84+Sedi!R84+Sedi!W84,0)</f>
        <v>565638</v>
      </c>
      <c r="I13" s="158">
        <f>ROUND(Sedi!I84+Sedi!N84+Sedi!S84+Sedi!X84,0)</f>
        <v>1143432</v>
      </c>
      <c r="J13" s="159">
        <f t="shared" si="3"/>
        <v>2541061</v>
      </c>
      <c r="K13" s="114"/>
      <c r="L13" s="114"/>
    </row>
    <row r="14" spans="1:16" ht="15">
      <c r="A14" s="157" t="str">
        <f>Sedi!A95</f>
        <v>dicembre</v>
      </c>
      <c r="B14" s="158">
        <f>ROUND(Sedi!B95+Sedi!AA95+Sedi!AF95,0)</f>
        <v>299336</v>
      </c>
      <c r="C14" s="158">
        <f>ROUND(Sedi!C95+Sedi!AB95+Sedi!AG95,0)</f>
        <v>215140</v>
      </c>
      <c r="D14" s="158">
        <f>ROUND(Sedi!D95+Sedi!AC95+Sedi!AH95,0)</f>
        <v>493318</v>
      </c>
      <c r="E14" s="159">
        <f t="shared" si="1"/>
        <v>1007794</v>
      </c>
      <c r="F14" s="157" t="str">
        <f>A4</f>
        <v>febbraio</v>
      </c>
      <c r="G14" s="158">
        <f>ROUND(Sedi!G85+Sedi!L85+Sedi!Q85+Sedi!V85,0)</f>
        <v>815138</v>
      </c>
      <c r="H14" s="158">
        <f>ROUND(Sedi!H85+Sedi!M85+Sedi!R85+Sedi!W85,0)</f>
        <v>556778</v>
      </c>
      <c r="I14" s="158">
        <f>ROUND(Sedi!I85+Sedi!N85+Sedi!S85+Sedi!X85,0)</f>
        <v>992493</v>
      </c>
      <c r="J14" s="159">
        <f t="shared" si="3"/>
        <v>2364409</v>
      </c>
      <c r="K14" s="114"/>
      <c r="L14" s="114"/>
    </row>
    <row r="15" spans="1:16" ht="15.75" thickBot="1">
      <c r="A15" s="190" t="s">
        <v>52</v>
      </c>
      <c r="B15" s="191">
        <f>SUM(B3:B14)</f>
        <v>4719852</v>
      </c>
      <c r="C15" s="191">
        <f>SUM(C3:C14)</f>
        <v>3115287</v>
      </c>
      <c r="D15" s="191">
        <f>SUM(D3:D14)</f>
        <v>6069434</v>
      </c>
      <c r="E15" s="192">
        <f>SUM(E3:E14)</f>
        <v>13904573</v>
      </c>
      <c r="F15" s="190" t="str">
        <f t="shared" ref="F15" si="4">A15</f>
        <v>Totale</v>
      </c>
      <c r="G15" s="191">
        <f>SUM(G3:G14)</f>
        <v>11162777</v>
      </c>
      <c r="H15" s="191">
        <f>SUM(H3:H14)</f>
        <v>7886440</v>
      </c>
      <c r="I15" s="191">
        <f>SUM(I3:I14)</f>
        <v>14418449</v>
      </c>
      <c r="J15" s="192">
        <f>SUM(G15:I15)</f>
        <v>33467666</v>
      </c>
      <c r="K15" s="114"/>
      <c r="L15" s="114"/>
    </row>
    <row r="16" spans="1:16" ht="15.75" thickBot="1">
      <c r="A16" s="221" t="s">
        <v>232</v>
      </c>
      <c r="B16" s="222"/>
      <c r="C16" s="222"/>
      <c r="D16" s="222"/>
      <c r="E16" s="223"/>
      <c r="F16" s="224" t="s">
        <v>233</v>
      </c>
      <c r="G16" s="225"/>
      <c r="H16" s="225"/>
      <c r="I16" s="225"/>
      <c r="J16" s="226"/>
    </row>
    <row r="17" spans="1:17" ht="15">
      <c r="A17" s="114"/>
      <c r="B17" s="114"/>
      <c r="C17" s="114"/>
      <c r="D17" s="114"/>
      <c r="E17" s="148"/>
      <c r="F17" s="149"/>
      <c r="G17" s="149"/>
      <c r="H17" s="149"/>
      <c r="I17" s="162"/>
      <c r="J17" s="148"/>
      <c r="K17" s="163"/>
      <c r="L17" s="163"/>
      <c r="M17" s="149"/>
      <c r="N17" s="150"/>
      <c r="O17" s="165"/>
      <c r="P17" s="166"/>
    </row>
    <row r="18" spans="1:17" ht="15">
      <c r="A18" s="148"/>
      <c r="B18" s="149"/>
      <c r="C18" s="149"/>
      <c r="D18" s="150"/>
      <c r="E18" s="148"/>
      <c r="F18" s="149"/>
      <c r="G18" s="149"/>
      <c r="H18" s="163"/>
      <c r="I18" s="150"/>
      <c r="J18" s="208"/>
      <c r="K18" s="149"/>
      <c r="L18" s="149"/>
      <c r="M18" s="149"/>
      <c r="N18" s="150"/>
      <c r="O18" s="150"/>
      <c r="P18" s="166"/>
    </row>
    <row r="19" spans="1:17" ht="15">
      <c r="A19" s="91"/>
      <c r="B19" s="92"/>
      <c r="C19" s="92"/>
      <c r="D19" s="93"/>
      <c r="E19" s="91"/>
      <c r="F19" s="92"/>
      <c r="G19" s="92"/>
      <c r="H19" s="92"/>
      <c r="I19" s="93"/>
      <c r="J19" s="91"/>
      <c r="K19" s="92"/>
      <c r="L19" s="92"/>
      <c r="M19" s="92"/>
      <c r="N19" s="93"/>
      <c r="O19" s="164"/>
      <c r="P19" s="5"/>
      <c r="Q19" s="6"/>
    </row>
    <row r="20" spans="1:17" ht="15">
      <c r="A20" s="220" t="s">
        <v>61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06"/>
      <c r="M20" s="57"/>
      <c r="N20" s="57"/>
      <c r="O20" s="57"/>
      <c r="P20" s="5"/>
      <c r="Q20" s="6"/>
    </row>
    <row r="21" spans="1:17" ht="15">
      <c r="A21" s="144" t="s">
        <v>156</v>
      </c>
      <c r="B21" s="145" t="s">
        <v>38</v>
      </c>
      <c r="C21" s="145" t="s">
        <v>39</v>
      </c>
      <c r="D21" s="145" t="s">
        <v>40</v>
      </c>
      <c r="E21" s="145" t="s">
        <v>41</v>
      </c>
      <c r="F21" s="145" t="s">
        <v>92</v>
      </c>
      <c r="G21" s="145" t="s">
        <v>42</v>
      </c>
      <c r="H21" s="145" t="s">
        <v>199</v>
      </c>
      <c r="I21" s="145" t="s">
        <v>91</v>
      </c>
      <c r="J21" s="146" t="s">
        <v>43</v>
      </c>
      <c r="K21" s="146" t="s">
        <v>44</v>
      </c>
      <c r="L21" s="8" t="s">
        <v>284</v>
      </c>
      <c r="M21" s="66"/>
      <c r="N21" s="66"/>
      <c r="O21" s="66"/>
      <c r="P21" s="5"/>
      <c r="Q21" s="6"/>
    </row>
    <row r="22" spans="1:17" ht="30" customHeight="1">
      <c r="A22" s="105">
        <v>1</v>
      </c>
      <c r="B22" s="106" t="s">
        <v>157</v>
      </c>
      <c r="C22" s="111" t="s">
        <v>139</v>
      </c>
      <c r="D22" s="107" t="s">
        <v>146</v>
      </c>
      <c r="E22" s="107" t="s">
        <v>217</v>
      </c>
      <c r="F22" s="108">
        <v>80040</v>
      </c>
      <c r="G22" s="107" t="s">
        <v>158</v>
      </c>
      <c r="H22" s="107" t="s">
        <v>200</v>
      </c>
      <c r="I22" s="177">
        <v>3500</v>
      </c>
      <c r="J22" s="109">
        <f>'elem. compilazione capitolato'!C3</f>
        <v>43831</v>
      </c>
      <c r="K22" s="109">
        <f>'elem. compilazione capitolato'!D3</f>
        <v>44196</v>
      </c>
      <c r="L22" s="109" t="s">
        <v>282</v>
      </c>
      <c r="M22" s="5"/>
      <c r="N22" s="5"/>
      <c r="O22" s="5"/>
      <c r="P22" s="5"/>
      <c r="Q22" s="5"/>
    </row>
    <row r="23" spans="1:17" ht="15">
      <c r="A23" s="105">
        <v>2</v>
      </c>
      <c r="B23" s="106" t="s">
        <v>159</v>
      </c>
      <c r="C23" s="104" t="s">
        <v>140</v>
      </c>
      <c r="D23" s="107" t="s">
        <v>147</v>
      </c>
      <c r="E23" s="107" t="s">
        <v>150</v>
      </c>
      <c r="F23" s="108" t="s">
        <v>153</v>
      </c>
      <c r="G23" s="107" t="s">
        <v>176</v>
      </c>
      <c r="H23" s="107" t="s">
        <v>200</v>
      </c>
      <c r="I23" s="177">
        <v>4650</v>
      </c>
      <c r="J23" s="109">
        <f>'elem. compilazione capitolato'!C4</f>
        <v>43891</v>
      </c>
      <c r="K23" s="109">
        <f>'elem. compilazione capitolato'!D4</f>
        <v>44255</v>
      </c>
      <c r="L23" s="109" t="s">
        <v>283</v>
      </c>
      <c r="M23" s="5"/>
      <c r="N23" s="5"/>
      <c r="O23" s="5"/>
      <c r="P23" s="5"/>
      <c r="Q23" s="5"/>
    </row>
    <row r="24" spans="1:17" ht="15">
      <c r="A24" s="194">
        <v>3</v>
      </c>
      <c r="B24" s="106" t="s">
        <v>160</v>
      </c>
      <c r="C24" s="104" t="s">
        <v>141</v>
      </c>
      <c r="D24" s="104" t="s">
        <v>161</v>
      </c>
      <c r="E24" s="104" t="s">
        <v>151</v>
      </c>
      <c r="F24" s="110">
        <v>50127</v>
      </c>
      <c r="G24" s="104" t="s">
        <v>177</v>
      </c>
      <c r="H24" s="169" t="s">
        <v>200</v>
      </c>
      <c r="I24" s="177">
        <v>900</v>
      </c>
      <c r="J24" s="109">
        <f>J23</f>
        <v>43891</v>
      </c>
      <c r="K24" s="109">
        <f>K23</f>
        <v>44255</v>
      </c>
      <c r="L24" s="109" t="s">
        <v>283</v>
      </c>
      <c r="M24" s="66"/>
      <c r="N24" s="66"/>
      <c r="O24" s="66"/>
      <c r="P24" s="5"/>
      <c r="Q24" s="6"/>
    </row>
    <row r="25" spans="1:17" ht="15">
      <c r="A25" s="194">
        <v>4</v>
      </c>
      <c r="B25" s="106" t="s">
        <v>162</v>
      </c>
      <c r="C25" s="104" t="s">
        <v>142</v>
      </c>
      <c r="D25" s="104" t="s">
        <v>163</v>
      </c>
      <c r="E25" s="104" t="s">
        <v>152</v>
      </c>
      <c r="F25" s="110">
        <v>20137</v>
      </c>
      <c r="G25" s="104" t="s">
        <v>178</v>
      </c>
      <c r="H25" s="169" t="s">
        <v>200</v>
      </c>
      <c r="I25" s="177">
        <v>1600</v>
      </c>
      <c r="J25" s="109">
        <f t="shared" ref="J25:J56" si="5">J24</f>
        <v>43891</v>
      </c>
      <c r="K25" s="109">
        <f t="shared" ref="K25:K56" si="6">K24</f>
        <v>44255</v>
      </c>
      <c r="L25" s="109" t="s">
        <v>283</v>
      </c>
      <c r="M25" s="66"/>
      <c r="N25" s="66"/>
      <c r="O25" s="66"/>
      <c r="P25" s="5"/>
      <c r="Q25" s="6"/>
    </row>
    <row r="26" spans="1:17" ht="15">
      <c r="A26" s="194">
        <v>5</v>
      </c>
      <c r="B26" s="106" t="s">
        <v>230</v>
      </c>
      <c r="C26" s="104" t="s">
        <v>142</v>
      </c>
      <c r="D26" s="107" t="s">
        <v>163</v>
      </c>
      <c r="E26" s="107" t="s">
        <v>152</v>
      </c>
      <c r="F26" s="108">
        <v>20137</v>
      </c>
      <c r="G26" s="104" t="s">
        <v>178</v>
      </c>
      <c r="H26" s="107" t="s">
        <v>216</v>
      </c>
      <c r="I26" s="177">
        <v>50</v>
      </c>
      <c r="J26" s="109">
        <f t="shared" si="5"/>
        <v>43891</v>
      </c>
      <c r="K26" s="109">
        <f t="shared" si="6"/>
        <v>44255</v>
      </c>
      <c r="L26" s="109" t="s">
        <v>283</v>
      </c>
      <c r="M26" s="66"/>
      <c r="N26" s="218" t="str">
        <f>F16</f>
        <v>LOTTO 2</v>
      </c>
      <c r="O26" s="219"/>
      <c r="P26" s="219"/>
    </row>
    <row r="27" spans="1:17" ht="15">
      <c r="A27" s="194">
        <v>6</v>
      </c>
      <c r="B27" s="106" t="s">
        <v>165</v>
      </c>
      <c r="C27" s="104" t="s">
        <v>142</v>
      </c>
      <c r="D27" s="107" t="s">
        <v>163</v>
      </c>
      <c r="E27" s="107" t="s">
        <v>152</v>
      </c>
      <c r="F27" s="108">
        <v>20137</v>
      </c>
      <c r="G27" s="104" t="s">
        <v>178</v>
      </c>
      <c r="H27" s="189" t="s">
        <v>216</v>
      </c>
      <c r="I27" s="177">
        <v>100</v>
      </c>
      <c r="J27" s="109">
        <f t="shared" si="5"/>
        <v>43891</v>
      </c>
      <c r="K27" s="109">
        <f t="shared" si="6"/>
        <v>44255</v>
      </c>
      <c r="L27" s="109" t="s">
        <v>283</v>
      </c>
      <c r="M27" s="66"/>
      <c r="N27" s="66"/>
      <c r="O27" s="66"/>
    </row>
    <row r="28" spans="1:17" ht="15">
      <c r="A28" s="194">
        <v>7</v>
      </c>
      <c r="B28" s="106" t="s">
        <v>228</v>
      </c>
      <c r="C28" s="104" t="s">
        <v>142</v>
      </c>
      <c r="D28" s="107" t="s">
        <v>149</v>
      </c>
      <c r="E28" s="107" t="s">
        <v>152</v>
      </c>
      <c r="F28" s="108">
        <v>20137</v>
      </c>
      <c r="G28" s="104" t="s">
        <v>178</v>
      </c>
      <c r="H28" s="107" t="s">
        <v>216</v>
      </c>
      <c r="I28" s="177">
        <v>150</v>
      </c>
      <c r="J28" s="109">
        <f t="shared" si="5"/>
        <v>43891</v>
      </c>
      <c r="K28" s="109">
        <f t="shared" si="6"/>
        <v>44255</v>
      </c>
      <c r="L28" s="109" t="s">
        <v>283</v>
      </c>
      <c r="M28" s="66"/>
      <c r="N28" s="66"/>
      <c r="O28" s="66"/>
    </row>
    <row r="29" spans="1:17" ht="15">
      <c r="A29" s="194">
        <v>8</v>
      </c>
      <c r="B29" s="106" t="s">
        <v>166</v>
      </c>
      <c r="C29" s="104" t="s">
        <v>142</v>
      </c>
      <c r="D29" s="107" t="s">
        <v>167</v>
      </c>
      <c r="E29" s="107" t="s">
        <v>152</v>
      </c>
      <c r="F29" s="108">
        <v>20137</v>
      </c>
      <c r="G29" s="104" t="s">
        <v>178</v>
      </c>
      <c r="H29" s="189" t="s">
        <v>200</v>
      </c>
      <c r="I29" s="177">
        <v>1050</v>
      </c>
      <c r="J29" s="109">
        <f t="shared" si="5"/>
        <v>43891</v>
      </c>
      <c r="K29" s="109">
        <f t="shared" si="6"/>
        <v>44255</v>
      </c>
      <c r="L29" s="109" t="s">
        <v>283</v>
      </c>
      <c r="M29" s="66"/>
      <c r="N29" s="66"/>
      <c r="O29" s="66"/>
    </row>
    <row r="30" spans="1:17" ht="15">
      <c r="A30" s="194">
        <v>9</v>
      </c>
      <c r="B30" s="106" t="s">
        <v>168</v>
      </c>
      <c r="C30" s="104" t="s">
        <v>142</v>
      </c>
      <c r="D30" s="107" t="s">
        <v>149</v>
      </c>
      <c r="E30" s="107" t="s">
        <v>152</v>
      </c>
      <c r="F30" s="108">
        <v>20137</v>
      </c>
      <c r="G30" s="104" t="s">
        <v>178</v>
      </c>
      <c r="H30" s="107" t="s">
        <v>216</v>
      </c>
      <c r="I30" s="177">
        <v>65</v>
      </c>
      <c r="J30" s="109">
        <f t="shared" si="5"/>
        <v>43891</v>
      </c>
      <c r="K30" s="109">
        <f t="shared" si="6"/>
        <v>44255</v>
      </c>
      <c r="L30" s="109" t="s">
        <v>283</v>
      </c>
      <c r="M30" s="66"/>
      <c r="N30" s="66"/>
      <c r="O30" s="66"/>
    </row>
    <row r="31" spans="1:17" ht="15">
      <c r="A31" s="194">
        <v>10</v>
      </c>
      <c r="B31" s="106" t="s">
        <v>169</v>
      </c>
      <c r="C31" s="104" t="s">
        <v>142</v>
      </c>
      <c r="D31" s="107" t="s">
        <v>149</v>
      </c>
      <c r="E31" s="107" t="s">
        <v>152</v>
      </c>
      <c r="F31" s="108">
        <v>20137</v>
      </c>
      <c r="G31" s="104" t="s">
        <v>178</v>
      </c>
      <c r="H31" s="189" t="s">
        <v>216</v>
      </c>
      <c r="I31" s="177">
        <v>75</v>
      </c>
      <c r="J31" s="109">
        <f t="shared" si="5"/>
        <v>43891</v>
      </c>
      <c r="K31" s="109">
        <f t="shared" si="6"/>
        <v>44255</v>
      </c>
      <c r="L31" s="109" t="s">
        <v>283</v>
      </c>
      <c r="M31" s="66"/>
      <c r="N31" s="66"/>
      <c r="O31" s="66"/>
    </row>
    <row r="32" spans="1:17" ht="15">
      <c r="A32" s="194">
        <v>11</v>
      </c>
      <c r="B32" s="106" t="s">
        <v>170</v>
      </c>
      <c r="C32" s="104" t="s">
        <v>142</v>
      </c>
      <c r="D32" s="107" t="s">
        <v>149</v>
      </c>
      <c r="E32" s="107" t="s">
        <v>152</v>
      </c>
      <c r="F32" s="108">
        <v>20137</v>
      </c>
      <c r="G32" s="104" t="s">
        <v>178</v>
      </c>
      <c r="H32" s="107" t="s">
        <v>216</v>
      </c>
      <c r="I32" s="177">
        <v>65</v>
      </c>
      <c r="J32" s="109">
        <f t="shared" si="5"/>
        <v>43891</v>
      </c>
      <c r="K32" s="109">
        <f t="shared" si="6"/>
        <v>44255</v>
      </c>
      <c r="L32" s="109" t="s">
        <v>283</v>
      </c>
      <c r="M32" s="66"/>
      <c r="N32" s="66"/>
      <c r="O32" s="66"/>
    </row>
    <row r="33" spans="1:12" ht="15">
      <c r="A33" s="194">
        <v>12</v>
      </c>
      <c r="B33" s="106" t="s">
        <v>171</v>
      </c>
      <c r="C33" s="104" t="s">
        <v>142</v>
      </c>
      <c r="D33" s="107" t="s">
        <v>167</v>
      </c>
      <c r="E33" s="107" t="s">
        <v>152</v>
      </c>
      <c r="F33" s="108">
        <v>20137</v>
      </c>
      <c r="G33" s="104" t="s">
        <v>178</v>
      </c>
      <c r="H33" s="189" t="s">
        <v>216</v>
      </c>
      <c r="I33" s="177">
        <v>45</v>
      </c>
      <c r="J33" s="109">
        <f t="shared" si="5"/>
        <v>43891</v>
      </c>
      <c r="K33" s="109">
        <f t="shared" si="6"/>
        <v>44255</v>
      </c>
      <c r="L33" s="109" t="s">
        <v>283</v>
      </c>
    </row>
    <row r="34" spans="1:12" ht="15">
      <c r="A34" s="194">
        <v>13</v>
      </c>
      <c r="B34" s="106" t="s">
        <v>172</v>
      </c>
      <c r="C34" s="104" t="s">
        <v>142</v>
      </c>
      <c r="D34" s="107" t="s">
        <v>173</v>
      </c>
      <c r="E34" s="107" t="s">
        <v>152</v>
      </c>
      <c r="F34" s="108">
        <v>20137</v>
      </c>
      <c r="G34" s="104" t="s">
        <v>178</v>
      </c>
      <c r="H34" s="107" t="s">
        <v>216</v>
      </c>
      <c r="I34" s="177">
        <v>40</v>
      </c>
      <c r="J34" s="109">
        <f t="shared" si="5"/>
        <v>43891</v>
      </c>
      <c r="K34" s="109">
        <f t="shared" si="6"/>
        <v>44255</v>
      </c>
      <c r="L34" s="109" t="s">
        <v>283</v>
      </c>
    </row>
    <row r="35" spans="1:12" ht="15">
      <c r="A35" s="194">
        <v>14</v>
      </c>
      <c r="B35" s="106" t="s">
        <v>219</v>
      </c>
      <c r="C35" s="104" t="s">
        <v>142</v>
      </c>
      <c r="D35" s="107" t="s">
        <v>149</v>
      </c>
      <c r="E35" s="107" t="s">
        <v>152</v>
      </c>
      <c r="F35" s="108">
        <v>20137</v>
      </c>
      <c r="G35" s="104" t="s">
        <v>178</v>
      </c>
      <c r="H35" s="189" t="s">
        <v>216</v>
      </c>
      <c r="I35" s="177">
        <v>150</v>
      </c>
      <c r="J35" s="109">
        <f t="shared" si="5"/>
        <v>43891</v>
      </c>
      <c r="K35" s="109">
        <f t="shared" si="6"/>
        <v>44255</v>
      </c>
      <c r="L35" s="109" t="s">
        <v>283</v>
      </c>
    </row>
    <row r="36" spans="1:12" ht="15">
      <c r="A36" s="194">
        <v>15</v>
      </c>
      <c r="B36" s="106" t="s">
        <v>174</v>
      </c>
      <c r="C36" s="104" t="s">
        <v>142</v>
      </c>
      <c r="D36" s="107" t="s">
        <v>149</v>
      </c>
      <c r="E36" s="107" t="s">
        <v>152</v>
      </c>
      <c r="F36" s="108">
        <v>20137</v>
      </c>
      <c r="G36" s="104" t="s">
        <v>178</v>
      </c>
      <c r="H36" s="107" t="s">
        <v>216</v>
      </c>
      <c r="I36" s="177">
        <v>60</v>
      </c>
      <c r="J36" s="109">
        <f t="shared" si="5"/>
        <v>43891</v>
      </c>
      <c r="K36" s="109">
        <f t="shared" si="6"/>
        <v>44255</v>
      </c>
      <c r="L36" s="109" t="s">
        <v>283</v>
      </c>
    </row>
    <row r="37" spans="1:12" ht="15">
      <c r="A37" s="194">
        <v>16</v>
      </c>
      <c r="B37" s="106" t="s">
        <v>220</v>
      </c>
      <c r="C37" s="104" t="s">
        <v>142</v>
      </c>
      <c r="D37" s="107" t="s">
        <v>175</v>
      </c>
      <c r="E37" s="107" t="s">
        <v>152</v>
      </c>
      <c r="F37" s="108">
        <v>20137</v>
      </c>
      <c r="G37" s="104" t="s">
        <v>178</v>
      </c>
      <c r="H37" s="189" t="s">
        <v>216</v>
      </c>
      <c r="I37" s="177">
        <v>27.5</v>
      </c>
      <c r="J37" s="109">
        <f t="shared" si="5"/>
        <v>43891</v>
      </c>
      <c r="K37" s="109">
        <f t="shared" si="6"/>
        <v>44255</v>
      </c>
      <c r="L37" s="109" t="s">
        <v>283</v>
      </c>
    </row>
    <row r="38" spans="1:12" ht="15">
      <c r="A38" s="194">
        <v>17</v>
      </c>
      <c r="B38" s="106" t="s">
        <v>210</v>
      </c>
      <c r="C38" s="169" t="s">
        <v>211</v>
      </c>
      <c r="D38" s="169" t="s">
        <v>203</v>
      </c>
      <c r="E38" s="169" t="s">
        <v>204</v>
      </c>
      <c r="F38" s="110">
        <v>37137</v>
      </c>
      <c r="G38" s="169" t="s">
        <v>212</v>
      </c>
      <c r="H38" s="107" t="s">
        <v>200</v>
      </c>
      <c r="I38" s="177">
        <v>800</v>
      </c>
      <c r="J38" s="109">
        <f t="shared" si="5"/>
        <v>43891</v>
      </c>
      <c r="K38" s="109">
        <f t="shared" si="6"/>
        <v>44255</v>
      </c>
      <c r="L38" s="109" t="s">
        <v>283</v>
      </c>
    </row>
    <row r="39" spans="1:12" ht="15">
      <c r="A39" s="194">
        <v>18</v>
      </c>
      <c r="B39" s="106" t="s">
        <v>213</v>
      </c>
      <c r="C39" s="169" t="s">
        <v>211</v>
      </c>
      <c r="D39" s="107" t="s">
        <v>203</v>
      </c>
      <c r="E39" s="169" t="s">
        <v>204</v>
      </c>
      <c r="F39" s="110">
        <v>37137</v>
      </c>
      <c r="G39" s="169" t="s">
        <v>212</v>
      </c>
      <c r="H39" s="189" t="s">
        <v>216</v>
      </c>
      <c r="I39" s="177">
        <v>80</v>
      </c>
      <c r="J39" s="109">
        <f t="shared" si="5"/>
        <v>43891</v>
      </c>
      <c r="K39" s="109">
        <f t="shared" si="6"/>
        <v>44255</v>
      </c>
      <c r="L39" s="109" t="s">
        <v>283</v>
      </c>
    </row>
    <row r="40" spans="1:12" ht="15">
      <c r="A40" s="194">
        <v>19</v>
      </c>
      <c r="B40" s="106" t="s">
        <v>214</v>
      </c>
      <c r="C40" s="169" t="s">
        <v>211</v>
      </c>
      <c r="D40" s="107" t="s">
        <v>203</v>
      </c>
      <c r="E40" s="169" t="s">
        <v>204</v>
      </c>
      <c r="F40" s="110">
        <v>37137</v>
      </c>
      <c r="G40" s="169" t="s">
        <v>212</v>
      </c>
      <c r="H40" s="107" t="s">
        <v>216</v>
      </c>
      <c r="I40" s="177">
        <v>16.5</v>
      </c>
      <c r="J40" s="109">
        <f t="shared" si="5"/>
        <v>43891</v>
      </c>
      <c r="K40" s="109">
        <f t="shared" si="6"/>
        <v>44255</v>
      </c>
      <c r="L40" s="109" t="s">
        <v>283</v>
      </c>
    </row>
    <row r="41" spans="1:12" ht="15">
      <c r="A41" s="194">
        <v>20</v>
      </c>
      <c r="B41" s="106" t="s">
        <v>215</v>
      </c>
      <c r="C41" s="169" t="s">
        <v>211</v>
      </c>
      <c r="D41" s="107" t="s">
        <v>203</v>
      </c>
      <c r="E41" s="169" t="s">
        <v>204</v>
      </c>
      <c r="F41" s="110">
        <v>37137</v>
      </c>
      <c r="G41" s="169" t="s">
        <v>212</v>
      </c>
      <c r="H41" s="189" t="s">
        <v>216</v>
      </c>
      <c r="I41" s="177">
        <v>16.5</v>
      </c>
      <c r="J41" s="109">
        <f t="shared" si="5"/>
        <v>43891</v>
      </c>
      <c r="K41" s="109">
        <f t="shared" si="6"/>
        <v>44255</v>
      </c>
      <c r="L41" s="109" t="s">
        <v>283</v>
      </c>
    </row>
    <row r="42" spans="1:12" ht="15">
      <c r="A42" s="194">
        <v>21</v>
      </c>
      <c r="B42" s="106" t="s">
        <v>221</v>
      </c>
      <c r="C42" s="171" t="s">
        <v>140</v>
      </c>
      <c r="D42" s="110" t="s">
        <v>225</v>
      </c>
      <c r="E42" s="107" t="s">
        <v>152</v>
      </c>
      <c r="F42" s="108">
        <v>20137</v>
      </c>
      <c r="G42" s="110" t="s">
        <v>176</v>
      </c>
      <c r="H42" s="107" t="s">
        <v>216</v>
      </c>
      <c r="I42" s="177">
        <v>4.95</v>
      </c>
      <c r="J42" s="109">
        <f t="shared" si="5"/>
        <v>43891</v>
      </c>
      <c r="K42" s="109">
        <f t="shared" si="6"/>
        <v>44255</v>
      </c>
      <c r="L42" s="109" t="s">
        <v>283</v>
      </c>
    </row>
    <row r="43" spans="1:12" ht="15">
      <c r="A43" s="194">
        <v>22</v>
      </c>
      <c r="B43" s="106" t="s">
        <v>222</v>
      </c>
      <c r="C43" s="171" t="s">
        <v>140</v>
      </c>
      <c r="D43" s="110" t="s">
        <v>226</v>
      </c>
      <c r="E43" s="107" t="s">
        <v>152</v>
      </c>
      <c r="F43" s="108">
        <v>20137</v>
      </c>
      <c r="G43" s="110" t="s">
        <v>176</v>
      </c>
      <c r="H43" s="189" t="s">
        <v>216</v>
      </c>
      <c r="I43" s="177">
        <v>3.3</v>
      </c>
      <c r="J43" s="109">
        <f t="shared" si="5"/>
        <v>43891</v>
      </c>
      <c r="K43" s="109">
        <f t="shared" si="6"/>
        <v>44255</v>
      </c>
      <c r="L43" s="109" t="s">
        <v>283</v>
      </c>
    </row>
    <row r="44" spans="1:12" ht="15">
      <c r="A44" s="194">
        <v>23</v>
      </c>
      <c r="B44" s="106" t="s">
        <v>223</v>
      </c>
      <c r="C44" s="171" t="s">
        <v>140</v>
      </c>
      <c r="D44" s="110" t="s">
        <v>224</v>
      </c>
      <c r="E44" s="107" t="s">
        <v>152</v>
      </c>
      <c r="F44" s="108">
        <v>20137</v>
      </c>
      <c r="G44" s="110" t="s">
        <v>176</v>
      </c>
      <c r="H44" s="107" t="s">
        <v>216</v>
      </c>
      <c r="I44" s="177">
        <v>75</v>
      </c>
      <c r="J44" s="109">
        <f t="shared" si="5"/>
        <v>43891</v>
      </c>
      <c r="K44" s="109">
        <f t="shared" si="6"/>
        <v>44255</v>
      </c>
      <c r="L44" s="109" t="s">
        <v>283</v>
      </c>
    </row>
    <row r="45" spans="1:12" ht="15">
      <c r="A45" s="194">
        <v>24</v>
      </c>
      <c r="B45" s="106" t="s">
        <v>237</v>
      </c>
      <c r="C45" s="193" t="s">
        <v>236</v>
      </c>
      <c r="D45" s="107" t="s">
        <v>249</v>
      </c>
      <c r="E45" s="107" t="s">
        <v>250</v>
      </c>
      <c r="F45" s="108">
        <v>10095</v>
      </c>
      <c r="G45" s="110" t="s">
        <v>251</v>
      </c>
      <c r="H45" s="110" t="s">
        <v>216</v>
      </c>
      <c r="I45" s="177">
        <v>50</v>
      </c>
      <c r="J45" s="109">
        <f>J22</f>
        <v>43831</v>
      </c>
      <c r="K45" s="200">
        <f>K22</f>
        <v>44196</v>
      </c>
      <c r="L45" s="109" t="s">
        <v>282</v>
      </c>
    </row>
    <row r="46" spans="1:12" ht="15">
      <c r="A46" s="194">
        <v>25</v>
      </c>
      <c r="B46" s="106" t="s">
        <v>238</v>
      </c>
      <c r="C46" s="193" t="s">
        <v>236</v>
      </c>
      <c r="D46" s="107" t="s">
        <v>249</v>
      </c>
      <c r="E46" s="107" t="s">
        <v>250</v>
      </c>
      <c r="F46" s="108">
        <v>10095</v>
      </c>
      <c r="G46" s="110" t="s">
        <v>251</v>
      </c>
      <c r="H46" s="110" t="s">
        <v>216</v>
      </c>
      <c r="I46" s="177">
        <v>25</v>
      </c>
      <c r="J46" s="109">
        <f t="shared" si="5"/>
        <v>43831</v>
      </c>
      <c r="K46" s="200">
        <f t="shared" si="6"/>
        <v>44196</v>
      </c>
      <c r="L46" s="109" t="s">
        <v>282</v>
      </c>
    </row>
    <row r="47" spans="1:12" ht="15">
      <c r="A47" s="194">
        <v>26</v>
      </c>
      <c r="B47" s="106" t="s">
        <v>239</v>
      </c>
      <c r="C47" s="193" t="s">
        <v>236</v>
      </c>
      <c r="D47" s="107" t="s">
        <v>249</v>
      </c>
      <c r="E47" s="107" t="s">
        <v>250</v>
      </c>
      <c r="F47" s="108">
        <v>10095</v>
      </c>
      <c r="G47" s="110" t="s">
        <v>251</v>
      </c>
      <c r="H47" s="193" t="s">
        <v>200</v>
      </c>
      <c r="I47" s="177">
        <v>900</v>
      </c>
      <c r="J47" s="109">
        <f t="shared" si="5"/>
        <v>43831</v>
      </c>
      <c r="K47" s="200">
        <f t="shared" si="6"/>
        <v>44196</v>
      </c>
      <c r="L47" s="109" t="s">
        <v>282</v>
      </c>
    </row>
    <row r="48" spans="1:12" ht="15">
      <c r="A48" s="194">
        <v>27</v>
      </c>
      <c r="B48" s="106" t="s">
        <v>240</v>
      </c>
      <c r="C48" s="193" t="s">
        <v>236</v>
      </c>
      <c r="D48" s="107" t="s">
        <v>249</v>
      </c>
      <c r="E48" s="107" t="s">
        <v>250</v>
      </c>
      <c r="F48" s="108">
        <v>10095</v>
      </c>
      <c r="G48" s="110" t="s">
        <v>251</v>
      </c>
      <c r="H48" s="193" t="s">
        <v>200</v>
      </c>
      <c r="I48" s="177">
        <v>1000</v>
      </c>
      <c r="J48" s="109">
        <f t="shared" si="5"/>
        <v>43831</v>
      </c>
      <c r="K48" s="200">
        <f t="shared" si="6"/>
        <v>44196</v>
      </c>
      <c r="L48" s="109" t="s">
        <v>282</v>
      </c>
    </row>
    <row r="49" spans="1:12" ht="15">
      <c r="A49" s="194">
        <v>28</v>
      </c>
      <c r="B49" s="106" t="s">
        <v>241</v>
      </c>
      <c r="C49" s="193" t="s">
        <v>236</v>
      </c>
      <c r="D49" s="107" t="s">
        <v>249</v>
      </c>
      <c r="E49" s="107" t="s">
        <v>250</v>
      </c>
      <c r="F49" s="108">
        <v>10095</v>
      </c>
      <c r="G49" s="110" t="s">
        <v>251</v>
      </c>
      <c r="H49" s="193" t="s">
        <v>200</v>
      </c>
      <c r="I49" s="177">
        <v>507</v>
      </c>
      <c r="J49" s="109">
        <f t="shared" si="5"/>
        <v>43831</v>
      </c>
      <c r="K49" s="200">
        <f t="shared" si="6"/>
        <v>44196</v>
      </c>
      <c r="L49" s="109" t="s">
        <v>282</v>
      </c>
    </row>
    <row r="50" spans="1:12" ht="15">
      <c r="A50" s="194">
        <v>29</v>
      </c>
      <c r="B50" s="106" t="s">
        <v>242</v>
      </c>
      <c r="C50" s="193" t="s">
        <v>236</v>
      </c>
      <c r="D50" s="107" t="s">
        <v>249</v>
      </c>
      <c r="E50" s="107" t="s">
        <v>250</v>
      </c>
      <c r="F50" s="108">
        <v>10095</v>
      </c>
      <c r="G50" s="110" t="s">
        <v>251</v>
      </c>
      <c r="H50" s="193" t="s">
        <v>200</v>
      </c>
      <c r="I50" s="177">
        <v>600</v>
      </c>
      <c r="J50" s="109">
        <f t="shared" si="5"/>
        <v>43831</v>
      </c>
      <c r="K50" s="200">
        <f t="shared" si="6"/>
        <v>44196</v>
      </c>
      <c r="L50" s="109" t="s">
        <v>282</v>
      </c>
    </row>
    <row r="51" spans="1:12" ht="15">
      <c r="A51" s="194">
        <v>30</v>
      </c>
      <c r="B51" s="106" t="s">
        <v>243</v>
      </c>
      <c r="C51" s="193" t="s">
        <v>236</v>
      </c>
      <c r="D51" s="107" t="s">
        <v>249</v>
      </c>
      <c r="E51" s="107" t="s">
        <v>250</v>
      </c>
      <c r="F51" s="108">
        <v>10095</v>
      </c>
      <c r="G51" s="110" t="s">
        <v>251</v>
      </c>
      <c r="H51" s="110" t="s">
        <v>216</v>
      </c>
      <c r="I51" s="177">
        <v>100</v>
      </c>
      <c r="J51" s="109">
        <f t="shared" si="5"/>
        <v>43831</v>
      </c>
      <c r="K51" s="200">
        <f t="shared" si="6"/>
        <v>44196</v>
      </c>
      <c r="L51" s="109" t="s">
        <v>282</v>
      </c>
    </row>
    <row r="52" spans="1:12" ht="15">
      <c r="A52" s="194">
        <v>31</v>
      </c>
      <c r="B52" s="106" t="s">
        <v>244</v>
      </c>
      <c r="C52" s="193" t="s">
        <v>236</v>
      </c>
      <c r="D52" s="107" t="s">
        <v>249</v>
      </c>
      <c r="E52" s="107" t="s">
        <v>250</v>
      </c>
      <c r="F52" s="108">
        <v>10095</v>
      </c>
      <c r="G52" s="110" t="s">
        <v>251</v>
      </c>
      <c r="H52" s="110" t="s">
        <v>216</v>
      </c>
      <c r="I52" s="177">
        <v>100</v>
      </c>
      <c r="J52" s="109">
        <f t="shared" si="5"/>
        <v>43831</v>
      </c>
      <c r="K52" s="200">
        <f t="shared" si="6"/>
        <v>44196</v>
      </c>
      <c r="L52" s="109" t="s">
        <v>282</v>
      </c>
    </row>
    <row r="53" spans="1:12" ht="15">
      <c r="A53" s="194">
        <v>32</v>
      </c>
      <c r="B53" s="106" t="s">
        <v>245</v>
      </c>
      <c r="C53" s="193" t="s">
        <v>236</v>
      </c>
      <c r="D53" s="107" t="s">
        <v>249</v>
      </c>
      <c r="E53" s="107" t="s">
        <v>250</v>
      </c>
      <c r="F53" s="108">
        <v>10095</v>
      </c>
      <c r="G53" s="110" t="s">
        <v>251</v>
      </c>
      <c r="H53" s="110" t="s">
        <v>216</v>
      </c>
      <c r="I53" s="177">
        <v>100</v>
      </c>
      <c r="J53" s="109">
        <f t="shared" si="5"/>
        <v>43831</v>
      </c>
      <c r="K53" s="200">
        <f t="shared" si="6"/>
        <v>44196</v>
      </c>
      <c r="L53" s="109" t="s">
        <v>282</v>
      </c>
    </row>
    <row r="54" spans="1:12" ht="15">
      <c r="A54" s="194">
        <v>33</v>
      </c>
      <c r="B54" s="106" t="s">
        <v>246</v>
      </c>
      <c r="C54" s="193" t="s">
        <v>236</v>
      </c>
      <c r="D54" s="107" t="s">
        <v>249</v>
      </c>
      <c r="E54" s="107" t="s">
        <v>250</v>
      </c>
      <c r="F54" s="108">
        <v>10095</v>
      </c>
      <c r="G54" s="110" t="s">
        <v>251</v>
      </c>
      <c r="H54" s="110" t="s">
        <v>216</v>
      </c>
      <c r="I54" s="177">
        <v>100</v>
      </c>
      <c r="J54" s="109">
        <f t="shared" si="5"/>
        <v>43831</v>
      </c>
      <c r="K54" s="200">
        <f t="shared" si="6"/>
        <v>44196</v>
      </c>
      <c r="L54" s="109" t="s">
        <v>282</v>
      </c>
    </row>
    <row r="55" spans="1:12" ht="15">
      <c r="A55" s="194">
        <v>34</v>
      </c>
      <c r="B55" s="106" t="s">
        <v>247</v>
      </c>
      <c r="C55" s="193" t="s">
        <v>236</v>
      </c>
      <c r="D55" s="107" t="s">
        <v>249</v>
      </c>
      <c r="E55" s="107" t="s">
        <v>250</v>
      </c>
      <c r="F55" s="108">
        <v>10095</v>
      </c>
      <c r="G55" s="110" t="s">
        <v>251</v>
      </c>
      <c r="H55" s="110" t="s">
        <v>216</v>
      </c>
      <c r="I55" s="177">
        <v>33</v>
      </c>
      <c r="J55" s="109">
        <f t="shared" si="5"/>
        <v>43831</v>
      </c>
      <c r="K55" s="200">
        <f t="shared" si="6"/>
        <v>44196</v>
      </c>
      <c r="L55" s="109" t="s">
        <v>282</v>
      </c>
    </row>
    <row r="56" spans="1:12" ht="15">
      <c r="A56" s="194">
        <v>35</v>
      </c>
      <c r="B56" s="106" t="s">
        <v>248</v>
      </c>
      <c r="C56" s="193" t="s">
        <v>236</v>
      </c>
      <c r="D56" s="107" t="s">
        <v>249</v>
      </c>
      <c r="E56" s="107" t="s">
        <v>250</v>
      </c>
      <c r="F56" s="108">
        <v>10095</v>
      </c>
      <c r="G56" s="110" t="s">
        <v>251</v>
      </c>
      <c r="H56" s="110" t="s">
        <v>216</v>
      </c>
      <c r="I56" s="177">
        <v>17</v>
      </c>
      <c r="J56" s="109">
        <f t="shared" si="5"/>
        <v>43831</v>
      </c>
      <c r="K56" s="200">
        <f t="shared" si="6"/>
        <v>44196</v>
      </c>
      <c r="L56" s="109" t="s">
        <v>282</v>
      </c>
    </row>
    <row r="57" spans="1:12" ht="15">
      <c r="A57" s="199">
        <v>36</v>
      </c>
      <c r="B57" s="106" t="s">
        <v>266</v>
      </c>
      <c r="C57" s="198" t="str">
        <f>Sedi!AF81</f>
        <v>S.G.M. S.C.P.A.</v>
      </c>
      <c r="D57" s="107" t="s">
        <v>272</v>
      </c>
      <c r="E57" s="107" t="s">
        <v>271</v>
      </c>
      <c r="F57" s="108">
        <v>16162</v>
      </c>
      <c r="G57" s="110" t="s">
        <v>270</v>
      </c>
      <c r="H57" s="110" t="s">
        <v>200</v>
      </c>
      <c r="I57" s="177">
        <v>910</v>
      </c>
      <c r="J57" s="109">
        <f t="shared" ref="J57:K59" si="7">J56</f>
        <v>43831</v>
      </c>
      <c r="K57" s="200">
        <f t="shared" si="7"/>
        <v>44196</v>
      </c>
      <c r="L57" s="109" t="s">
        <v>282</v>
      </c>
    </row>
    <row r="58" spans="1:12" ht="15">
      <c r="A58" s="199">
        <v>37</v>
      </c>
      <c r="B58" s="106" t="s">
        <v>267</v>
      </c>
      <c r="C58" s="198" t="str">
        <f>C57</f>
        <v>S.G.M. S.C.P.A.</v>
      </c>
      <c r="D58" s="107" t="s">
        <v>272</v>
      </c>
      <c r="E58" s="107" t="s">
        <v>271</v>
      </c>
      <c r="F58" s="108">
        <v>16162</v>
      </c>
      <c r="G58" s="110" t="s">
        <v>270</v>
      </c>
      <c r="H58" s="110" t="s">
        <v>200</v>
      </c>
      <c r="I58" s="177">
        <v>240</v>
      </c>
      <c r="J58" s="109">
        <f t="shared" si="7"/>
        <v>43831</v>
      </c>
      <c r="K58" s="200">
        <f t="shared" si="7"/>
        <v>44196</v>
      </c>
      <c r="L58" s="109" t="s">
        <v>282</v>
      </c>
    </row>
    <row r="59" spans="1:12" ht="15">
      <c r="A59" s="199">
        <v>38</v>
      </c>
      <c r="B59" s="106" t="s">
        <v>268</v>
      </c>
      <c r="C59" s="198" t="str">
        <f>C58</f>
        <v>S.G.M. S.C.P.A.</v>
      </c>
      <c r="D59" s="107" t="s">
        <v>272</v>
      </c>
      <c r="E59" s="107" t="s">
        <v>271</v>
      </c>
      <c r="F59" s="108">
        <v>16162</v>
      </c>
      <c r="G59" s="110" t="s">
        <v>270</v>
      </c>
      <c r="H59" s="110" t="s">
        <v>216</v>
      </c>
      <c r="I59" s="177">
        <v>20</v>
      </c>
      <c r="J59" s="109">
        <f t="shared" si="7"/>
        <v>43831</v>
      </c>
      <c r="K59" s="200">
        <f t="shared" si="7"/>
        <v>44196</v>
      </c>
      <c r="L59" s="109" t="s">
        <v>282</v>
      </c>
    </row>
    <row r="60" spans="1:12" ht="15">
      <c r="A60" s="206"/>
    </row>
  </sheetData>
  <mergeCells count="5">
    <mergeCell ref="N8:P8"/>
    <mergeCell ref="N26:P26"/>
    <mergeCell ref="A20:K20"/>
    <mergeCell ref="A16:E16"/>
    <mergeCell ref="F16:J1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5"/>
  <sheetViews>
    <sheetView topLeftCell="A8" zoomScale="85" zoomScaleNormal="85" workbookViewId="0">
      <selection activeCell="F30" sqref="F30"/>
    </sheetView>
  </sheetViews>
  <sheetFormatPr defaultRowHeight="14.25"/>
  <cols>
    <col min="1" max="1" width="15.875" bestFit="1" customWidth="1"/>
    <col min="2" max="2" width="20.125" bestFit="1" customWidth="1"/>
    <col min="3" max="3" width="16" bestFit="1" customWidth="1"/>
    <col min="4" max="4" width="16.75" bestFit="1" customWidth="1"/>
    <col min="5" max="5" width="20.875" bestFit="1" customWidth="1"/>
    <col min="6" max="6" width="13.5" bestFit="1" customWidth="1"/>
    <col min="7" max="7" width="8.625" bestFit="1" customWidth="1"/>
    <col min="8" max="8" width="19.75" bestFit="1" customWidth="1"/>
    <col min="9" max="9" width="16.625" bestFit="1" customWidth="1"/>
    <col min="10" max="10" width="18.875" customWidth="1"/>
    <col min="11" max="12" width="14.75" bestFit="1" customWidth="1"/>
    <col min="13" max="13" width="13.625" bestFit="1" customWidth="1"/>
    <col min="14" max="14" width="31" bestFit="1" customWidth="1"/>
  </cols>
  <sheetData>
    <row r="1" spans="2:12" ht="15" thickBot="1">
      <c r="H1" s="90" t="s">
        <v>89</v>
      </c>
      <c r="I1" s="204" t="str">
        <f>'Anagrafica sedi'!B2</f>
        <v>CENTRO AGROALIMENTARE DI NAPOLI SCPA</v>
      </c>
      <c r="J1" s="204"/>
      <c r="K1" s="204"/>
      <c r="L1" s="175" t="str">
        <f>E2</f>
        <v>C.A.A.T. S.C.P.A.</v>
      </c>
    </row>
    <row r="2" spans="2:12" ht="15">
      <c r="B2" s="201" t="str">
        <f>'Dettagli sede 18106'!B1</f>
        <v>CENTRO AGROALIMENTARE DI NAPOLI S.C.P.A.</v>
      </c>
      <c r="C2" s="202"/>
      <c r="D2" s="202"/>
      <c r="E2" s="202" t="str">
        <f>'Dettagli sede 18106'!C45</f>
        <v>C.A.A.T. S.C.P.A.</v>
      </c>
      <c r="F2" s="203"/>
      <c r="H2" s="80" t="s">
        <v>61</v>
      </c>
      <c r="I2" s="81" t="s">
        <v>54</v>
      </c>
      <c r="J2" s="84" t="str">
        <f>A17</f>
        <v>Fornitore 1</v>
      </c>
      <c r="K2" s="84" t="str">
        <f>A19</f>
        <v>Fornitore 2</v>
      </c>
      <c r="L2" s="85" t="str">
        <f>A21</f>
        <v>Fornitore 3</v>
      </c>
    </row>
    <row r="3" spans="2:12">
      <c r="B3" s="82" t="str">
        <f>'Dettagli sede 18106'!A2</f>
        <v>Previsione 2018</v>
      </c>
      <c r="C3" s="83" t="s">
        <v>22</v>
      </c>
      <c r="D3" s="83" t="s">
        <v>23</v>
      </c>
      <c r="E3" s="83" t="s">
        <v>24</v>
      </c>
      <c r="F3" s="172" t="s">
        <v>198</v>
      </c>
      <c r="H3" s="82" t="s">
        <v>76</v>
      </c>
      <c r="I3" s="83" t="str">
        <f>'elem. compilazione capitolato'!C5</f>
        <v>BON</v>
      </c>
      <c r="J3" s="88"/>
      <c r="K3" s="88"/>
      <c r="L3" s="89"/>
    </row>
    <row r="4" spans="2:12">
      <c r="B4" s="82" t="str">
        <f>'Dettagli sede 18106'!A3</f>
        <v>gennaio</v>
      </c>
      <c r="C4" s="205">
        <f>'Dettagli sede 18106'!B3/1000</f>
        <v>308.07400000000001</v>
      </c>
      <c r="D4" s="205">
        <f>'Dettagli sede 18106'!C3/1000</f>
        <v>209.316</v>
      </c>
      <c r="E4" s="205">
        <f>'Dettagli sede 18106'!D3/1000</f>
        <v>464.04700000000003</v>
      </c>
      <c r="F4" s="13">
        <f>SUM(C4:E4)</f>
        <v>981.43700000000001</v>
      </c>
      <c r="H4" s="82" t="s">
        <v>17</v>
      </c>
      <c r="I4" s="83" t="str">
        <f>'elem. compilazione capitolato'!C6</f>
        <v>30 GGDF</v>
      </c>
      <c r="J4" s="88"/>
      <c r="K4" s="88"/>
      <c r="L4" s="89"/>
    </row>
    <row r="5" spans="2:12">
      <c r="B5" s="82" t="str">
        <f>'Dettagli sede 18106'!A4</f>
        <v>febbraio</v>
      </c>
      <c r="C5" s="205">
        <f>'Dettagli sede 18106'!B4/1000</f>
        <v>301.62299999999999</v>
      </c>
      <c r="D5" s="205">
        <f>'Dettagli sede 18106'!C4/1000</f>
        <v>206.95099999999999</v>
      </c>
      <c r="E5" s="205">
        <f>'Dettagli sede 18106'!D4/1000</f>
        <v>408.56799999999998</v>
      </c>
      <c r="F5" s="13">
        <f t="shared" ref="F5:F15" si="0">SUM(C5:E5)</f>
        <v>917.14199999999994</v>
      </c>
      <c r="H5" s="82" t="s">
        <v>69</v>
      </c>
      <c r="I5" s="83" t="str">
        <f>'elem. compilazione capitolato'!C7</f>
        <v>SI</v>
      </c>
      <c r="J5" s="88"/>
      <c r="K5" s="88"/>
      <c r="L5" s="89"/>
    </row>
    <row r="6" spans="2:12">
      <c r="B6" s="82" t="str">
        <f>'Dettagli sede 18106'!A5</f>
        <v>marzo</v>
      </c>
      <c r="C6" s="205">
        <f>'Dettagli sede 18106'!B5/1000</f>
        <v>347.149</v>
      </c>
      <c r="D6" s="205">
        <f>'Dettagli sede 18106'!C5/1000</f>
        <v>235.69800000000001</v>
      </c>
      <c r="E6" s="205">
        <f>'Dettagli sede 18106'!D5/1000</f>
        <v>458.41</v>
      </c>
      <c r="F6" s="13">
        <f t="shared" si="0"/>
        <v>1041.2570000000001</v>
      </c>
      <c r="H6" s="82" t="s">
        <v>55</v>
      </c>
      <c r="I6" s="83" t="str">
        <f>'elem. compilazione capitolato'!C8</f>
        <v>LIMITI DI LEGGE</v>
      </c>
      <c r="J6" s="88"/>
      <c r="K6" s="88"/>
      <c r="L6" s="89"/>
    </row>
    <row r="7" spans="2:12">
      <c r="B7" s="82" t="str">
        <f>'Dettagli sede 18106'!A6</f>
        <v>aprile</v>
      </c>
      <c r="C7" s="205">
        <f>'Dettagli sede 18106'!B6/1000</f>
        <v>332.99099999999999</v>
      </c>
      <c r="D7" s="205">
        <f>'Dettagli sede 18106'!C6/1000</f>
        <v>229.529</v>
      </c>
      <c r="E7" s="205">
        <f>'Dettagli sede 18106'!D6/1000</f>
        <v>491.60899999999998</v>
      </c>
      <c r="F7" s="13">
        <f t="shared" si="0"/>
        <v>1054.1289999999999</v>
      </c>
      <c r="H7" s="82" t="s">
        <v>56</v>
      </c>
      <c r="I7" s="83" t="str">
        <f>'elem. compilazione capitolato'!C9</f>
        <v>NO</v>
      </c>
      <c r="J7" s="88"/>
      <c r="K7" s="88"/>
      <c r="L7" s="89"/>
    </row>
    <row r="8" spans="2:12">
      <c r="B8" s="82" t="str">
        <f>'Dettagli sede 18106'!A7</f>
        <v>maggio</v>
      </c>
      <c r="C8" s="205">
        <f>'Dettagli sede 18106'!B7/1000</f>
        <v>415.18400000000003</v>
      </c>
      <c r="D8" s="205">
        <f>'Dettagli sede 18106'!C7/1000</f>
        <v>271.23500000000001</v>
      </c>
      <c r="E8" s="205">
        <f>'Dettagli sede 18106'!D7/1000</f>
        <v>523.29700000000003</v>
      </c>
      <c r="F8" s="13">
        <f t="shared" si="0"/>
        <v>1209.7160000000001</v>
      </c>
      <c r="H8" s="82" t="s">
        <v>80</v>
      </c>
      <c r="I8" s="83" t="str">
        <f>'elem. compilazione capitolato'!C12</f>
        <v>NO</v>
      </c>
      <c r="J8" s="88"/>
      <c r="K8" s="88"/>
      <c r="L8" s="89"/>
    </row>
    <row r="9" spans="2:12">
      <c r="B9" s="82" t="str">
        <f>'Dettagli sede 18106'!A8</f>
        <v>giugno</v>
      </c>
      <c r="C9" s="205">
        <f>'Dettagli sede 18106'!B8/1000</f>
        <v>485.88600000000002</v>
      </c>
      <c r="D9" s="205">
        <f>'Dettagli sede 18106'!C8/1000</f>
        <v>302.226</v>
      </c>
      <c r="E9" s="205">
        <f>'Dettagli sede 18106'!D8/1000</f>
        <v>560.30899999999997</v>
      </c>
      <c r="F9" s="13">
        <f t="shared" si="0"/>
        <v>1348.421</v>
      </c>
      <c r="H9" s="82" t="s">
        <v>57</v>
      </c>
      <c r="I9" s="83" t="str">
        <f>'elem. compilazione capitolato'!C14</f>
        <v>NO</v>
      </c>
      <c r="J9" s="88"/>
      <c r="K9" s="88"/>
      <c r="L9" s="89"/>
    </row>
    <row r="10" spans="2:12" ht="15" thickBot="1">
      <c r="B10" s="82" t="str">
        <f>'Dettagli sede 18106'!A9</f>
        <v>luglio</v>
      </c>
      <c r="C10" s="205">
        <f>'Dettagli sede 18106'!B9/1000</f>
        <v>556.47500000000002</v>
      </c>
      <c r="D10" s="205">
        <f>'Dettagli sede 18106'!C9/1000</f>
        <v>343.26</v>
      </c>
      <c r="E10" s="205">
        <f>'Dettagli sede 18106'!D9/1000</f>
        <v>610.22900000000004</v>
      </c>
      <c r="F10" s="13">
        <f t="shared" si="0"/>
        <v>1509.9639999999999</v>
      </c>
      <c r="H10" s="87" t="s">
        <v>90</v>
      </c>
      <c r="I10" s="86" t="str">
        <f>'elem. compilazione capitolato'!C16</f>
        <v>NO</v>
      </c>
      <c r="J10" s="78"/>
      <c r="K10" s="78"/>
      <c r="L10" s="77"/>
    </row>
    <row r="11" spans="2:12">
      <c r="B11" s="82" t="str">
        <f>'Dettagli sede 18106'!A10</f>
        <v>agosto</v>
      </c>
      <c r="C11" s="205">
        <f>'Dettagli sede 18106'!B10/1000</f>
        <v>506.58</v>
      </c>
      <c r="D11" s="205">
        <f>'Dettagli sede 18106'!C10/1000</f>
        <v>313.529</v>
      </c>
      <c r="E11" s="205">
        <f>'Dettagli sede 18106'!D10/1000</f>
        <v>586.91899999999998</v>
      </c>
      <c r="F11" s="13">
        <f t="shared" si="0"/>
        <v>1407.0279999999998</v>
      </c>
    </row>
    <row r="12" spans="2:12" ht="15" thickBot="1">
      <c r="B12" s="82" t="str">
        <f>'Dettagli sede 18106'!A11</f>
        <v>settembre</v>
      </c>
      <c r="C12" s="205">
        <f>'Dettagli sede 18106'!B11/1000</f>
        <v>433.72199999999998</v>
      </c>
      <c r="D12" s="205">
        <f>'Dettagli sede 18106'!C11/1000</f>
        <v>293.36200000000002</v>
      </c>
      <c r="E12" s="205">
        <f>'Dettagli sede 18106'!D11/1000</f>
        <v>502.21300000000002</v>
      </c>
      <c r="F12" s="13">
        <f t="shared" si="0"/>
        <v>1229.297</v>
      </c>
    </row>
    <row r="13" spans="2:12">
      <c r="B13" s="82" t="str">
        <f>'Dettagli sede 18106'!A12</f>
        <v>ottobre</v>
      </c>
      <c r="C13" s="205">
        <f>'Dettagli sede 18106'!B12/1000</f>
        <v>386.63200000000001</v>
      </c>
      <c r="D13" s="205">
        <f>'Dettagli sede 18106'!C12/1000</f>
        <v>263.98500000000001</v>
      </c>
      <c r="E13" s="205">
        <f>'Dettagli sede 18106'!D12/1000</f>
        <v>497.90199999999999</v>
      </c>
      <c r="F13" s="13">
        <f t="shared" si="0"/>
        <v>1148.519</v>
      </c>
      <c r="H13" s="23" t="s">
        <v>58</v>
      </c>
      <c r="I13" s="28"/>
      <c r="J13" s="74">
        <f>F17</f>
        <v>0</v>
      </c>
      <c r="K13" s="18">
        <f>F19</f>
        <v>0</v>
      </c>
      <c r="L13" s="19">
        <f>F21</f>
        <v>0</v>
      </c>
    </row>
    <row r="14" spans="2:12" ht="15" thickBot="1">
      <c r="B14" s="82" t="str">
        <f>'Dettagli sede 18106'!A13</f>
        <v>novembre</v>
      </c>
      <c r="C14" s="205">
        <f>'Dettagli sede 18106'!B13/1000</f>
        <v>346.2</v>
      </c>
      <c r="D14" s="205">
        <f>'Dettagli sede 18106'!C13/1000</f>
        <v>231.05600000000001</v>
      </c>
      <c r="E14" s="205">
        <f>'Dettagli sede 18106'!D13/1000</f>
        <v>472.613</v>
      </c>
      <c r="F14" s="13">
        <f t="shared" si="0"/>
        <v>1049.8689999999999</v>
      </c>
      <c r="H14" s="24" t="s">
        <v>59</v>
      </c>
      <c r="I14" s="22"/>
      <c r="J14" s="75">
        <f>(J13-J13)*F16</f>
        <v>0</v>
      </c>
      <c r="K14" s="75">
        <f>(K13-J13)*F16</f>
        <v>0</v>
      </c>
      <c r="L14" s="76">
        <f>(L13-J13)*F16</f>
        <v>0</v>
      </c>
    </row>
    <row r="15" spans="2:12" ht="15" thickBot="1">
      <c r="B15" s="82" t="str">
        <f>'Dettagli sede 18106'!A14</f>
        <v>dicembre</v>
      </c>
      <c r="C15" s="205">
        <f>'Dettagli sede 18106'!B14/1000</f>
        <v>299.33600000000001</v>
      </c>
      <c r="D15" s="205">
        <f>'Dettagli sede 18106'!C14/1000</f>
        <v>215.14</v>
      </c>
      <c r="E15" s="205">
        <f>'Dettagli sede 18106'!D14/1000</f>
        <v>493.31799999999998</v>
      </c>
      <c r="F15" s="13">
        <f t="shared" si="0"/>
        <v>1007.794</v>
      </c>
    </row>
    <row r="16" spans="2:12">
      <c r="B16" s="82" t="str">
        <f>'Dettagli sede 18106'!A15</f>
        <v>Totale</v>
      </c>
      <c r="C16" s="205">
        <f>SUM(C4:C15)</f>
        <v>4719.8520000000008</v>
      </c>
      <c r="D16" s="205">
        <f t="shared" ref="D16:E16" si="1">SUM(D4:D15)</f>
        <v>3115.2869999999998</v>
      </c>
      <c r="E16" s="205">
        <f t="shared" si="1"/>
        <v>6069.4340000000002</v>
      </c>
      <c r="F16" s="13">
        <f>SUM(C16:E16)</f>
        <v>13904.573</v>
      </c>
      <c r="G16" s="26"/>
      <c r="H16" s="23" t="s">
        <v>60</v>
      </c>
      <c r="I16" s="10"/>
      <c r="J16" s="28"/>
      <c r="K16" s="28"/>
      <c r="L16" s="28"/>
    </row>
    <row r="17" spans="1:13" ht="15" thickBot="1">
      <c r="A17" s="38" t="s">
        <v>70</v>
      </c>
      <c r="B17" s="82" t="s">
        <v>53</v>
      </c>
      <c r="C17" s="37"/>
      <c r="D17" s="37"/>
      <c r="E17" s="37"/>
      <c r="F17" s="16">
        <f>F18/F16</f>
        <v>0</v>
      </c>
      <c r="H17" s="24" t="s">
        <v>59</v>
      </c>
      <c r="I17" s="22"/>
      <c r="J17" s="29">
        <f>(J16-J16)*F16</f>
        <v>0</v>
      </c>
      <c r="K17" s="29">
        <f>(K16-J16)*F16</f>
        <v>0</v>
      </c>
      <c r="L17" s="29">
        <f>(L16-J16)*F16</f>
        <v>0</v>
      </c>
    </row>
    <row r="18" spans="1:13">
      <c r="A18" s="30"/>
      <c r="B18" s="82" t="s">
        <v>51</v>
      </c>
      <c r="C18" s="15">
        <f>C16*C17</f>
        <v>0</v>
      </c>
      <c r="D18" s="15">
        <f>D16*D17</f>
        <v>0</v>
      </c>
      <c r="E18" s="15">
        <f>E16*E17</f>
        <v>0</v>
      </c>
      <c r="F18" s="16">
        <f>SUM(C18:E18)</f>
        <v>0</v>
      </c>
      <c r="G18" s="26"/>
      <c r="H18" s="30"/>
    </row>
    <row r="19" spans="1:13">
      <c r="A19" s="38" t="s">
        <v>71</v>
      </c>
      <c r="B19" s="82" t="s">
        <v>53</v>
      </c>
      <c r="C19" s="37"/>
      <c r="D19" s="37"/>
      <c r="E19" s="37"/>
      <c r="F19" s="16">
        <f>F20/F16</f>
        <v>0</v>
      </c>
      <c r="H19" s="30"/>
    </row>
    <row r="20" spans="1:13">
      <c r="A20" s="30"/>
      <c r="B20" s="82" t="s">
        <v>51</v>
      </c>
      <c r="C20" s="15">
        <f>C16*C19</f>
        <v>0</v>
      </c>
      <c r="D20" s="15">
        <f>D16*D19</f>
        <v>0</v>
      </c>
      <c r="E20" s="15">
        <f>E16*E19</f>
        <v>0</v>
      </c>
      <c r="F20" s="16">
        <f>SUM(C20:E20)</f>
        <v>0</v>
      </c>
      <c r="G20" s="26"/>
    </row>
    <row r="21" spans="1:13">
      <c r="A21" s="38" t="s">
        <v>72</v>
      </c>
      <c r="B21" s="82" t="s">
        <v>53</v>
      </c>
      <c r="C21" s="37"/>
      <c r="D21" s="37"/>
      <c r="E21" s="37"/>
      <c r="F21" s="25">
        <f>F22/F16</f>
        <v>0</v>
      </c>
    </row>
    <row r="22" spans="1:13" ht="15" thickBot="1">
      <c r="B22" s="17" t="s">
        <v>51</v>
      </c>
      <c r="C22" s="20">
        <f>C21*C16</f>
        <v>0</v>
      </c>
      <c r="D22" s="20">
        <f>D21*D16</f>
        <v>0</v>
      </c>
      <c r="E22" s="20">
        <f>E21*E16</f>
        <v>0</v>
      </c>
      <c r="F22" s="21">
        <f>SUM(C22:E22)</f>
        <v>0</v>
      </c>
    </row>
    <row r="24" spans="1:13" ht="15" thickBot="1"/>
    <row r="25" spans="1:13" ht="15.75" thickBot="1">
      <c r="B25" s="173" t="str">
        <f>'Dettagli sede 18106'!F1</f>
        <v>C.A.R   S.C.P.A.</v>
      </c>
      <c r="C25" s="45" t="str">
        <f>'Dettagli sede 18106'!G1</f>
        <v>MERCAFIR  S.C.P.A.</v>
      </c>
      <c r="D25" s="156" t="str">
        <f>'Dettagli sede 18106'!C25</f>
        <v>SO.GE.MI.    S.P.A</v>
      </c>
      <c r="E25" s="46" t="str">
        <f>'Dettagli sede 18106'!C38</f>
        <v>VERONAMERCATO S.P.A.</v>
      </c>
      <c r="F25" s="47" t="str">
        <f>'Dettagli sede 18106'!C57</f>
        <v>S.G.M. S.C.P.A.</v>
      </c>
      <c r="H25" s="90" t="s">
        <v>89</v>
      </c>
      <c r="I25" s="176" t="str">
        <f>B25</f>
        <v>C.A.R   S.C.P.A.</v>
      </c>
      <c r="J25" s="174" t="str">
        <f>D25</f>
        <v>SO.GE.MI.    S.P.A</v>
      </c>
      <c r="K25" s="174" t="str">
        <f>D25</f>
        <v>SO.GE.MI.    S.P.A</v>
      </c>
      <c r="L25" s="174" t="str">
        <f>E25</f>
        <v>VERONAMERCATO S.P.A.</v>
      </c>
      <c r="M25" s="174" t="str">
        <f>F25</f>
        <v>S.G.M. S.C.P.A.</v>
      </c>
    </row>
    <row r="26" spans="1:13" ht="15">
      <c r="B26" s="157" t="str">
        <f>'Dettagli sede 18106'!F2</f>
        <v>Previsione 2018</v>
      </c>
      <c r="C26" s="158" t="s">
        <v>22</v>
      </c>
      <c r="D26" s="158" t="s">
        <v>23</v>
      </c>
      <c r="E26" s="158" t="s">
        <v>24</v>
      </c>
      <c r="F26" s="159" t="s">
        <v>198</v>
      </c>
      <c r="H26" s="80" t="s">
        <v>61</v>
      </c>
      <c r="I26" s="227" t="s">
        <v>54</v>
      </c>
      <c r="J26" s="228"/>
      <c r="K26" s="84" t="str">
        <f>A40</f>
        <v>Fornitore 1</v>
      </c>
      <c r="L26" s="84" t="str">
        <f>A42</f>
        <v>Fornitore 2</v>
      </c>
      <c r="M26" s="85" t="str">
        <f>A44</f>
        <v>Fornitore 3</v>
      </c>
    </row>
    <row r="27" spans="1:13" ht="15">
      <c r="B27" s="157" t="str">
        <f>'Dettagli sede 18106'!F3</f>
        <v>marzo</v>
      </c>
      <c r="C27" s="167">
        <f>'Dettagli sede 18106'!G3/1000</f>
        <v>846.69299999999998</v>
      </c>
      <c r="D27" s="167">
        <f>'Dettagli sede 18106'!H3/1000</f>
        <v>609.13199999999995</v>
      </c>
      <c r="E27" s="167">
        <f>'Dettagli sede 18106'!I3/1000</f>
        <v>1094.4760000000001</v>
      </c>
      <c r="F27" s="168">
        <f>SUM(C27:E27)</f>
        <v>2550.3009999999999</v>
      </c>
      <c r="H27" s="82" t="s">
        <v>76</v>
      </c>
      <c r="I27" s="229" t="str">
        <f t="shared" ref="I27:I34" si="2">I3</f>
        <v>BON</v>
      </c>
      <c r="J27" s="215"/>
      <c r="K27" s="88"/>
      <c r="L27" s="88"/>
      <c r="M27" s="89"/>
    </row>
    <row r="28" spans="1:13" ht="15">
      <c r="B28" s="157" t="str">
        <f>'Dettagli sede 18106'!F4</f>
        <v>aprile</v>
      </c>
      <c r="C28" s="167">
        <f>'Dettagli sede 18106'!G4/1000</f>
        <v>768.01</v>
      </c>
      <c r="D28" s="167">
        <f>'Dettagli sede 18106'!H4/1000</f>
        <v>579.45500000000004</v>
      </c>
      <c r="E28" s="167">
        <f>'Dettagli sede 18106'!I4/1000</f>
        <v>1175.347</v>
      </c>
      <c r="F28" s="168">
        <f t="shared" ref="F28:F38" si="3">SUM(C28:E28)</f>
        <v>2522.8119999999999</v>
      </c>
      <c r="H28" s="82" t="s">
        <v>17</v>
      </c>
      <c r="I28" s="229" t="str">
        <f t="shared" si="2"/>
        <v>30 GGDF</v>
      </c>
      <c r="J28" s="215"/>
      <c r="K28" s="88"/>
      <c r="L28" s="88"/>
      <c r="M28" s="89"/>
    </row>
    <row r="29" spans="1:13" ht="15">
      <c r="B29" s="157" t="str">
        <f>'Dettagli sede 18106'!F5</f>
        <v>maggio</v>
      </c>
      <c r="C29" s="167">
        <f>'Dettagli sede 18106'!G5/1000</f>
        <v>944.18700000000001</v>
      </c>
      <c r="D29" s="167">
        <f>'Dettagli sede 18106'!H5/1000</f>
        <v>692.66</v>
      </c>
      <c r="E29" s="167">
        <f>'Dettagli sede 18106'!I5/1000</f>
        <v>1275.5740000000001</v>
      </c>
      <c r="F29" s="168">
        <f t="shared" si="3"/>
        <v>2912.4210000000003</v>
      </c>
      <c r="H29" s="82" t="s">
        <v>69</v>
      </c>
      <c r="I29" s="229" t="str">
        <f t="shared" si="2"/>
        <v>SI</v>
      </c>
      <c r="J29" s="215"/>
      <c r="K29" s="88"/>
      <c r="L29" s="88"/>
      <c r="M29" s="89"/>
    </row>
    <row r="30" spans="1:13" ht="15">
      <c r="B30" s="157" t="str">
        <f>'Dettagli sede 18106'!F6</f>
        <v>giugno</v>
      </c>
      <c r="C30" s="167">
        <f>'Dettagli sede 18106'!G6/1000</f>
        <v>1110.817</v>
      </c>
      <c r="D30" s="167">
        <f>'Dettagli sede 18106'!H6/1000</f>
        <v>746.41899999999998</v>
      </c>
      <c r="E30" s="167">
        <f>'Dettagli sede 18106'!I6/1000</f>
        <v>1368.028</v>
      </c>
      <c r="F30" s="168">
        <f t="shared" si="3"/>
        <v>3225.2640000000001</v>
      </c>
      <c r="H30" s="82" t="s">
        <v>55</v>
      </c>
      <c r="I30" s="229" t="str">
        <f t="shared" si="2"/>
        <v>LIMITI DI LEGGE</v>
      </c>
      <c r="J30" s="215"/>
      <c r="K30" s="88"/>
      <c r="L30" s="88"/>
      <c r="M30" s="89"/>
    </row>
    <row r="31" spans="1:13" ht="15">
      <c r="B31" s="157" t="str">
        <f>'Dettagli sede 18106'!F7</f>
        <v>luglio</v>
      </c>
      <c r="C31" s="167">
        <f>'Dettagli sede 18106'!G7/1000</f>
        <v>1335.4780000000001</v>
      </c>
      <c r="D31" s="167">
        <f>'Dettagli sede 18106'!H7/1000</f>
        <v>892.48900000000003</v>
      </c>
      <c r="E31" s="167">
        <f>'Dettagli sede 18106'!I7/1000</f>
        <v>1524.5530000000001</v>
      </c>
      <c r="F31" s="168">
        <f t="shared" si="3"/>
        <v>3752.5200000000004</v>
      </c>
      <c r="H31" s="82" t="s">
        <v>56</v>
      </c>
      <c r="I31" s="229" t="str">
        <f t="shared" si="2"/>
        <v>NO</v>
      </c>
      <c r="J31" s="215"/>
      <c r="K31" s="88"/>
      <c r="L31" s="88"/>
      <c r="M31" s="89"/>
    </row>
    <row r="32" spans="1:13" ht="15">
      <c r="B32" s="157" t="str">
        <f>'Dettagli sede 18106'!F8</f>
        <v>agosto</v>
      </c>
      <c r="C32" s="167">
        <f>'Dettagli sede 18106'!G8/1000</f>
        <v>1165.0139999999999</v>
      </c>
      <c r="D32" s="167">
        <f>'Dettagli sede 18106'!H8/1000</f>
        <v>797.73099999999999</v>
      </c>
      <c r="E32" s="167">
        <f>'Dettagli sede 18106'!I8/1000</f>
        <v>1469.913</v>
      </c>
      <c r="F32" s="168">
        <f t="shared" si="3"/>
        <v>3432.6579999999999</v>
      </c>
      <c r="H32" s="82" t="s">
        <v>80</v>
      </c>
      <c r="I32" s="229" t="str">
        <f t="shared" si="2"/>
        <v>NO</v>
      </c>
      <c r="J32" s="215"/>
      <c r="K32" s="88"/>
      <c r="L32" s="88"/>
      <c r="M32" s="89"/>
    </row>
    <row r="33" spans="1:15" ht="15">
      <c r="B33" s="157" t="str">
        <f>'Dettagli sede 18106'!F9</f>
        <v>settembre</v>
      </c>
      <c r="C33" s="167">
        <f>'Dettagli sede 18106'!G9/1000</f>
        <v>1018.079</v>
      </c>
      <c r="D33" s="167">
        <f>'Dettagli sede 18106'!H9/1000</f>
        <v>736.03200000000004</v>
      </c>
      <c r="E33" s="167">
        <f>'Dettagli sede 18106'!I9/1000</f>
        <v>1269.7260000000001</v>
      </c>
      <c r="F33" s="168">
        <f t="shared" si="3"/>
        <v>3023.837</v>
      </c>
      <c r="H33" s="82" t="s">
        <v>57</v>
      </c>
      <c r="I33" s="229" t="str">
        <f t="shared" si="2"/>
        <v>NO</v>
      </c>
      <c r="J33" s="215"/>
      <c r="K33" s="88"/>
      <c r="L33" s="88"/>
      <c r="M33" s="89"/>
    </row>
    <row r="34" spans="1:15" ht="15.75" thickBot="1">
      <c r="B34" s="157" t="str">
        <f>'Dettagli sede 18106'!F10</f>
        <v>ottobre</v>
      </c>
      <c r="C34" s="167">
        <f>'Dettagli sede 18106'!G10/1000</f>
        <v>854.01499999999999</v>
      </c>
      <c r="D34" s="167">
        <f>'Dettagli sede 18106'!H10/1000</f>
        <v>655.697</v>
      </c>
      <c r="E34" s="167">
        <f>'Dettagli sede 18106'!I10/1000</f>
        <v>1162.9190000000001</v>
      </c>
      <c r="F34" s="168">
        <f t="shared" si="3"/>
        <v>2672.6310000000003</v>
      </c>
      <c r="H34" s="87" t="s">
        <v>90</v>
      </c>
      <c r="I34" s="230" t="str">
        <f t="shared" si="2"/>
        <v>NO</v>
      </c>
      <c r="J34" s="231"/>
      <c r="K34" s="78"/>
      <c r="L34" s="78"/>
      <c r="M34" s="77"/>
    </row>
    <row r="35" spans="1:15" ht="15">
      <c r="B35" s="157" t="str">
        <f>'Dettagli sede 18106'!F11</f>
        <v>novembre</v>
      </c>
      <c r="C35" s="167">
        <f>'Dettagli sede 18106'!G11/1000</f>
        <v>728.61699999999996</v>
      </c>
      <c r="D35" s="167">
        <f>'Dettagli sede 18106'!H11/1000</f>
        <v>558.91300000000001</v>
      </c>
      <c r="E35" s="167">
        <f>'Dettagli sede 18106'!I11/1000</f>
        <v>930.15800000000002</v>
      </c>
      <c r="F35" s="168">
        <f t="shared" si="3"/>
        <v>2217.6880000000001</v>
      </c>
      <c r="O35">
        <v>1000</v>
      </c>
    </row>
    <row r="36" spans="1:15" ht="15.75" thickBot="1">
      <c r="B36" s="157" t="str">
        <f>'Dettagli sede 18106'!F12</f>
        <v>dicembre</v>
      </c>
      <c r="C36" s="167">
        <f>'Dettagli sede 18106'!G12/1000</f>
        <v>744.73800000000006</v>
      </c>
      <c r="D36" s="167">
        <f>'Dettagli sede 18106'!H12/1000</f>
        <v>495.49599999999998</v>
      </c>
      <c r="E36" s="167">
        <f>'Dettagli sede 18106'!I12/1000</f>
        <v>1011.83</v>
      </c>
      <c r="F36" s="168">
        <f t="shared" si="3"/>
        <v>2252.0639999999999</v>
      </c>
    </row>
    <row r="37" spans="1:15" ht="15">
      <c r="B37" s="157" t="str">
        <f>'Dettagli sede 18106'!F13</f>
        <v>gennaio</v>
      </c>
      <c r="C37" s="167">
        <f>'Dettagli sede 18106'!G13/1000</f>
        <v>831.99099999999999</v>
      </c>
      <c r="D37" s="167">
        <f>'Dettagli sede 18106'!H13/1000</f>
        <v>565.63800000000003</v>
      </c>
      <c r="E37" s="167">
        <f>'Dettagli sede 18106'!I13/1000</f>
        <v>1143.432</v>
      </c>
      <c r="F37" s="168">
        <f t="shared" si="3"/>
        <v>2541.0609999999997</v>
      </c>
      <c r="H37" s="23" t="s">
        <v>58</v>
      </c>
      <c r="I37" s="28"/>
      <c r="J37" s="28"/>
      <c r="K37" s="74">
        <f>F40</f>
        <v>0</v>
      </c>
      <c r="L37" s="18">
        <f>F42</f>
        <v>0</v>
      </c>
      <c r="M37" s="19">
        <f>F45</f>
        <v>0</v>
      </c>
    </row>
    <row r="38" spans="1:15" ht="15.75" thickBot="1">
      <c r="B38" s="157" t="str">
        <f>'Dettagli sede 18106'!F14</f>
        <v>febbraio</v>
      </c>
      <c r="C38" s="167">
        <f>'Dettagli sede 18106'!G14/1000</f>
        <v>815.13800000000003</v>
      </c>
      <c r="D38" s="167">
        <f>'Dettagli sede 18106'!H14/1000</f>
        <v>556.77800000000002</v>
      </c>
      <c r="E38" s="167">
        <f>'Dettagli sede 18106'!I14/1000</f>
        <v>992.49300000000005</v>
      </c>
      <c r="F38" s="168">
        <f t="shared" si="3"/>
        <v>2364.4090000000001</v>
      </c>
      <c r="H38" s="87" t="s">
        <v>59</v>
      </c>
      <c r="I38" s="86"/>
      <c r="J38" s="86"/>
      <c r="K38" s="20">
        <f>(K37-K37)*F39</f>
        <v>0</v>
      </c>
      <c r="L38" s="20">
        <f>(L37-K37)*F39</f>
        <v>0</v>
      </c>
      <c r="M38" s="21"/>
    </row>
    <row r="39" spans="1:15" ht="15">
      <c r="B39" s="157" t="str">
        <f>'Dettagli sede 18106'!F15</f>
        <v>Totale</v>
      </c>
      <c r="C39" s="167">
        <f>SUM(C27:C38)</f>
        <v>11162.777</v>
      </c>
      <c r="D39" s="167">
        <f t="shared" ref="D39:E39" si="4">SUM(D27:D38)</f>
        <v>7886.4400000000005</v>
      </c>
      <c r="E39" s="167">
        <f t="shared" si="4"/>
        <v>14418.449000000001</v>
      </c>
      <c r="F39" s="168">
        <f>SUM(F27:F38)</f>
        <v>33467.665999999997</v>
      </c>
    </row>
    <row r="40" spans="1:15">
      <c r="A40" s="38" t="s">
        <v>70</v>
      </c>
      <c r="B40" s="82" t="s">
        <v>53</v>
      </c>
      <c r="C40" s="37"/>
      <c r="D40" s="37"/>
      <c r="E40" s="37"/>
      <c r="F40" s="16">
        <f>F41/F39</f>
        <v>0</v>
      </c>
    </row>
    <row r="41" spans="1:15">
      <c r="A41" s="30"/>
      <c r="B41" s="82" t="s">
        <v>51</v>
      </c>
      <c r="C41" s="15">
        <f>C39*C40</f>
        <v>0</v>
      </c>
      <c r="D41" s="15">
        <f t="shared" ref="D41:E41" si="5">D39*D40</f>
        <v>0</v>
      </c>
      <c r="E41" s="15">
        <f t="shared" si="5"/>
        <v>0</v>
      </c>
      <c r="F41" s="16">
        <f>SUM(C41:E41)</f>
        <v>0</v>
      </c>
    </row>
    <row r="42" spans="1:15">
      <c r="A42" s="38" t="s">
        <v>71</v>
      </c>
      <c r="B42" s="82" t="s">
        <v>53</v>
      </c>
      <c r="C42" s="37"/>
      <c r="D42" s="37"/>
      <c r="E42" s="37"/>
      <c r="F42" s="16">
        <f>F43/F39</f>
        <v>0</v>
      </c>
    </row>
    <row r="43" spans="1:15">
      <c r="A43" s="30"/>
      <c r="B43" s="82" t="s">
        <v>51</v>
      </c>
      <c r="C43" s="15">
        <f>C42*C39</f>
        <v>0</v>
      </c>
      <c r="D43" s="15">
        <f t="shared" ref="D43:E43" si="6">D42*D39</f>
        <v>0</v>
      </c>
      <c r="E43" s="15">
        <f t="shared" si="6"/>
        <v>0</v>
      </c>
      <c r="F43" s="16">
        <f>SUM(C43:E43)</f>
        <v>0</v>
      </c>
    </row>
    <row r="44" spans="1:15">
      <c r="A44" s="38" t="s">
        <v>72</v>
      </c>
      <c r="B44" s="82" t="s">
        <v>53</v>
      </c>
      <c r="C44" s="37"/>
      <c r="D44" s="37"/>
      <c r="E44" s="37"/>
      <c r="F44" s="25">
        <f>F45/F39</f>
        <v>0</v>
      </c>
    </row>
    <row r="45" spans="1:15" ht="15" thickBot="1">
      <c r="B45" s="17" t="s">
        <v>51</v>
      </c>
      <c r="C45" s="20">
        <f>C44*C39</f>
        <v>0</v>
      </c>
      <c r="D45" s="20">
        <f t="shared" ref="D45:E45" si="7">D44*D39</f>
        <v>0</v>
      </c>
      <c r="E45" s="20">
        <f t="shared" si="7"/>
        <v>0</v>
      </c>
      <c r="F45" s="21">
        <f>SUM(C45:E45)</f>
        <v>0</v>
      </c>
    </row>
  </sheetData>
  <mergeCells count="9">
    <mergeCell ref="I26:J26"/>
    <mergeCell ref="I27:J27"/>
    <mergeCell ref="I28:J28"/>
    <mergeCell ref="I34:J34"/>
    <mergeCell ref="I29:J29"/>
    <mergeCell ref="I30:J30"/>
    <mergeCell ref="I31:J31"/>
    <mergeCell ref="I32:J32"/>
    <mergeCell ref="I33:J3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2"/>
  <sheetViews>
    <sheetView workbookViewId="0">
      <selection activeCell="G35" sqref="G35"/>
    </sheetView>
  </sheetViews>
  <sheetFormatPr defaultRowHeight="14.25"/>
  <cols>
    <col min="1" max="1" width="18" bestFit="1" customWidth="1"/>
    <col min="4" max="4" width="10.625" bestFit="1" customWidth="1"/>
    <col min="7" max="7" width="17.75" bestFit="1" customWidth="1"/>
    <col min="12" max="12" width="17.75" bestFit="1" customWidth="1"/>
  </cols>
  <sheetData>
    <row r="1" spans="1:14" ht="15">
      <c r="A1" s="44">
        <v>2013</v>
      </c>
      <c r="B1" s="45" t="s">
        <v>87</v>
      </c>
      <c r="C1" s="45" t="s">
        <v>86</v>
      </c>
      <c r="D1" s="46">
        <f>A1+1</f>
        <v>2014</v>
      </c>
      <c r="E1" s="45" t="s">
        <v>87</v>
      </c>
      <c r="F1" s="45" t="s">
        <v>86</v>
      </c>
      <c r="G1" s="46" t="s">
        <v>126</v>
      </c>
      <c r="H1" s="45" t="s">
        <v>87</v>
      </c>
      <c r="I1" s="45" t="s">
        <v>86</v>
      </c>
      <c r="J1" s="47" t="s">
        <v>52</v>
      </c>
      <c r="L1" s="62" t="str">
        <f>G1</f>
        <v>Previsione 2015</v>
      </c>
      <c r="M1" s="63" t="s">
        <v>87</v>
      </c>
      <c r="N1" s="63" t="s">
        <v>86</v>
      </c>
    </row>
    <row r="2" spans="1:14" ht="15">
      <c r="A2" s="48" t="s">
        <v>25</v>
      </c>
      <c r="B2" s="71"/>
      <c r="C2" s="72"/>
      <c r="D2" s="43" t="str">
        <f t="shared" ref="D2:D13" si="0">A2</f>
        <v>gennaio</v>
      </c>
      <c r="E2" s="71"/>
      <c r="F2" s="72"/>
      <c r="G2" s="43" t="str">
        <f>D2</f>
        <v>gennaio</v>
      </c>
      <c r="H2" s="68">
        <f>(B2+E2)/2</f>
        <v>0</v>
      </c>
      <c r="I2" s="68">
        <f>(C2+F2)/2</f>
        <v>0</v>
      </c>
      <c r="J2" s="70">
        <f t="shared" ref="J2:J14" si="1">SUM(H2:I2)</f>
        <v>0</v>
      </c>
      <c r="L2" s="43" t="str">
        <f>G2</f>
        <v>gennaio</v>
      </c>
      <c r="M2" s="64" t="e">
        <f>H2/J2</f>
        <v>#DIV/0!</v>
      </c>
      <c r="N2" s="64" t="e">
        <f>I2/J2</f>
        <v>#DIV/0!</v>
      </c>
    </row>
    <row r="3" spans="1:14" ht="15">
      <c r="A3" s="48" t="s">
        <v>26</v>
      </c>
      <c r="B3" s="71"/>
      <c r="C3" s="72"/>
      <c r="D3" s="43" t="str">
        <f t="shared" si="0"/>
        <v>febbraio</v>
      </c>
      <c r="E3" s="71"/>
      <c r="F3" s="72"/>
      <c r="G3" s="43" t="str">
        <f t="shared" ref="G3:G13" si="2">D3</f>
        <v>febbraio</v>
      </c>
      <c r="H3" s="68">
        <f t="shared" ref="H3:H13" si="3">(B3+E3)/2</f>
        <v>0</v>
      </c>
      <c r="I3" s="68">
        <f t="shared" ref="I3:I13" si="4">(C3+F3)/2</f>
        <v>0</v>
      </c>
      <c r="J3" s="70">
        <f t="shared" si="1"/>
        <v>0</v>
      </c>
      <c r="L3" s="43" t="str">
        <f t="shared" ref="L3:L13" si="5">G3</f>
        <v>febbraio</v>
      </c>
      <c r="M3" s="64" t="e">
        <f t="shared" ref="M3:M13" si="6">H3/J3</f>
        <v>#DIV/0!</v>
      </c>
      <c r="N3" s="64" t="e">
        <f t="shared" ref="N3:N13" si="7">I3/J3</f>
        <v>#DIV/0!</v>
      </c>
    </row>
    <row r="4" spans="1:14" ht="15">
      <c r="A4" s="48" t="s">
        <v>27</v>
      </c>
      <c r="B4" s="71"/>
      <c r="C4" s="72"/>
      <c r="D4" s="43" t="str">
        <f t="shared" si="0"/>
        <v>marzo</v>
      </c>
      <c r="E4" s="71"/>
      <c r="F4" s="72"/>
      <c r="G4" s="43" t="str">
        <f t="shared" si="2"/>
        <v>marzo</v>
      </c>
      <c r="H4" s="68">
        <f t="shared" si="3"/>
        <v>0</v>
      </c>
      <c r="I4" s="68">
        <f t="shared" si="4"/>
        <v>0</v>
      </c>
      <c r="J4" s="70">
        <f t="shared" si="1"/>
        <v>0</v>
      </c>
      <c r="L4" s="43" t="str">
        <f t="shared" si="5"/>
        <v>marzo</v>
      </c>
      <c r="M4" s="64" t="e">
        <f t="shared" si="6"/>
        <v>#DIV/0!</v>
      </c>
      <c r="N4" s="64" t="e">
        <f t="shared" si="7"/>
        <v>#DIV/0!</v>
      </c>
    </row>
    <row r="5" spans="1:14" ht="15">
      <c r="A5" s="48" t="s">
        <v>28</v>
      </c>
      <c r="B5" s="71"/>
      <c r="C5" s="72"/>
      <c r="D5" s="43" t="str">
        <f t="shared" si="0"/>
        <v>aprile</v>
      </c>
      <c r="E5" s="71"/>
      <c r="F5" s="72"/>
      <c r="G5" s="43" t="str">
        <f t="shared" si="2"/>
        <v>aprile</v>
      </c>
      <c r="H5" s="68">
        <f t="shared" si="3"/>
        <v>0</v>
      </c>
      <c r="I5" s="68">
        <f t="shared" si="4"/>
        <v>0</v>
      </c>
      <c r="J5" s="70">
        <f t="shared" si="1"/>
        <v>0</v>
      </c>
      <c r="L5" s="43" t="str">
        <f t="shared" si="5"/>
        <v>aprile</v>
      </c>
      <c r="M5" s="64" t="e">
        <f t="shared" si="6"/>
        <v>#DIV/0!</v>
      </c>
      <c r="N5" s="64" t="e">
        <f t="shared" si="7"/>
        <v>#DIV/0!</v>
      </c>
    </row>
    <row r="6" spans="1:14" ht="15">
      <c r="A6" s="48" t="s">
        <v>29</v>
      </c>
      <c r="B6" s="71"/>
      <c r="C6" s="72"/>
      <c r="D6" s="43" t="str">
        <f t="shared" si="0"/>
        <v>maggio</v>
      </c>
      <c r="E6" s="71"/>
      <c r="F6" s="72"/>
      <c r="G6" s="43" t="str">
        <f t="shared" si="2"/>
        <v>maggio</v>
      </c>
      <c r="H6" s="68">
        <f t="shared" si="3"/>
        <v>0</v>
      </c>
      <c r="I6" s="68">
        <f t="shared" si="4"/>
        <v>0</v>
      </c>
      <c r="J6" s="70">
        <f t="shared" si="1"/>
        <v>0</v>
      </c>
      <c r="L6" s="43" t="str">
        <f t="shared" si="5"/>
        <v>maggio</v>
      </c>
      <c r="M6" s="64" t="e">
        <f t="shared" si="6"/>
        <v>#DIV/0!</v>
      </c>
      <c r="N6" s="64" t="e">
        <f t="shared" si="7"/>
        <v>#DIV/0!</v>
      </c>
    </row>
    <row r="7" spans="1:14" ht="15">
      <c r="A7" s="48" t="s">
        <v>30</v>
      </c>
      <c r="B7" s="71"/>
      <c r="C7" s="72"/>
      <c r="D7" s="43" t="str">
        <f t="shared" si="0"/>
        <v>giugno</v>
      </c>
      <c r="E7" s="71"/>
      <c r="F7" s="72"/>
      <c r="G7" s="43" t="str">
        <f t="shared" si="2"/>
        <v>giugno</v>
      </c>
      <c r="H7" s="68">
        <f t="shared" si="3"/>
        <v>0</v>
      </c>
      <c r="I7" s="68">
        <f t="shared" si="4"/>
        <v>0</v>
      </c>
      <c r="J7" s="70">
        <f t="shared" si="1"/>
        <v>0</v>
      </c>
      <c r="L7" s="43" t="str">
        <f t="shared" si="5"/>
        <v>giugno</v>
      </c>
      <c r="M7" s="64" t="e">
        <f t="shared" si="6"/>
        <v>#DIV/0!</v>
      </c>
      <c r="N7" s="64" t="e">
        <f t="shared" si="7"/>
        <v>#DIV/0!</v>
      </c>
    </row>
    <row r="8" spans="1:14" ht="15">
      <c r="A8" s="48" t="s">
        <v>31</v>
      </c>
      <c r="B8" s="71"/>
      <c r="C8" s="72"/>
      <c r="D8" s="43" t="str">
        <f t="shared" si="0"/>
        <v>luglio</v>
      </c>
      <c r="E8" s="71"/>
      <c r="F8" s="72"/>
      <c r="G8" s="43" t="str">
        <f t="shared" si="2"/>
        <v>luglio</v>
      </c>
      <c r="H8" s="68">
        <f t="shared" si="3"/>
        <v>0</v>
      </c>
      <c r="I8" s="68">
        <f t="shared" si="4"/>
        <v>0</v>
      </c>
      <c r="J8" s="70">
        <f t="shared" si="1"/>
        <v>0</v>
      </c>
      <c r="L8" s="43" t="str">
        <f t="shared" si="5"/>
        <v>luglio</v>
      </c>
      <c r="M8" s="64" t="e">
        <f t="shared" si="6"/>
        <v>#DIV/0!</v>
      </c>
      <c r="N8" s="64" t="e">
        <f t="shared" si="7"/>
        <v>#DIV/0!</v>
      </c>
    </row>
    <row r="9" spans="1:14" ht="15">
      <c r="A9" s="48" t="s">
        <v>32</v>
      </c>
      <c r="B9" s="71"/>
      <c r="C9" s="72"/>
      <c r="D9" s="43" t="str">
        <f t="shared" si="0"/>
        <v>agosto</v>
      </c>
      <c r="E9" s="71"/>
      <c r="F9" s="72"/>
      <c r="G9" s="43" t="str">
        <f t="shared" si="2"/>
        <v>agosto</v>
      </c>
      <c r="H9" s="68">
        <f t="shared" si="3"/>
        <v>0</v>
      </c>
      <c r="I9" s="68">
        <f t="shared" si="4"/>
        <v>0</v>
      </c>
      <c r="J9" s="70">
        <f t="shared" si="1"/>
        <v>0</v>
      </c>
      <c r="L9" s="43" t="str">
        <f t="shared" si="5"/>
        <v>agosto</v>
      </c>
      <c r="M9" s="64" t="e">
        <f t="shared" si="6"/>
        <v>#DIV/0!</v>
      </c>
      <c r="N9" s="64" t="e">
        <f t="shared" si="7"/>
        <v>#DIV/0!</v>
      </c>
    </row>
    <row r="10" spans="1:14" ht="15">
      <c r="A10" s="48" t="s">
        <v>33</v>
      </c>
      <c r="B10" s="71"/>
      <c r="C10" s="72"/>
      <c r="D10" s="43" t="str">
        <f t="shared" si="0"/>
        <v>settembre</v>
      </c>
      <c r="E10" s="71"/>
      <c r="F10" s="72"/>
      <c r="G10" s="43" t="str">
        <f t="shared" si="2"/>
        <v>settembre</v>
      </c>
      <c r="H10" s="68">
        <f t="shared" si="3"/>
        <v>0</v>
      </c>
      <c r="I10" s="68">
        <f t="shared" si="4"/>
        <v>0</v>
      </c>
      <c r="J10" s="70">
        <f t="shared" si="1"/>
        <v>0</v>
      </c>
      <c r="L10" s="43" t="str">
        <f t="shared" si="5"/>
        <v>settembre</v>
      </c>
      <c r="M10" s="64" t="e">
        <f t="shared" si="6"/>
        <v>#DIV/0!</v>
      </c>
      <c r="N10" s="64" t="e">
        <f t="shared" si="7"/>
        <v>#DIV/0!</v>
      </c>
    </row>
    <row r="11" spans="1:14" ht="15">
      <c r="A11" s="48" t="s">
        <v>34</v>
      </c>
      <c r="B11" s="71"/>
      <c r="C11" s="72"/>
      <c r="D11" s="43" t="str">
        <f t="shared" si="0"/>
        <v>ottobre</v>
      </c>
      <c r="E11" s="71"/>
      <c r="F11" s="72"/>
      <c r="G11" s="43" t="str">
        <f t="shared" si="2"/>
        <v>ottobre</v>
      </c>
      <c r="H11" s="68">
        <f t="shared" si="3"/>
        <v>0</v>
      </c>
      <c r="I11" s="68">
        <f t="shared" si="4"/>
        <v>0</v>
      </c>
      <c r="J11" s="70">
        <f t="shared" si="1"/>
        <v>0</v>
      </c>
      <c r="L11" s="43" t="str">
        <f t="shared" si="5"/>
        <v>ottobre</v>
      </c>
      <c r="M11" s="64" t="e">
        <f t="shared" si="6"/>
        <v>#DIV/0!</v>
      </c>
      <c r="N11" s="64" t="e">
        <f t="shared" si="7"/>
        <v>#DIV/0!</v>
      </c>
    </row>
    <row r="12" spans="1:14" ht="15">
      <c r="A12" s="48" t="s">
        <v>35</v>
      </c>
      <c r="B12" s="71"/>
      <c r="C12" s="72"/>
      <c r="D12" s="43" t="str">
        <f t="shared" si="0"/>
        <v>novembre</v>
      </c>
      <c r="E12" s="71"/>
      <c r="F12" s="72"/>
      <c r="G12" s="43" t="str">
        <f t="shared" si="2"/>
        <v>novembre</v>
      </c>
      <c r="H12" s="68">
        <f t="shared" si="3"/>
        <v>0</v>
      </c>
      <c r="I12" s="68">
        <f t="shared" si="4"/>
        <v>0</v>
      </c>
      <c r="J12" s="70">
        <f t="shared" si="1"/>
        <v>0</v>
      </c>
      <c r="L12" s="43" t="str">
        <f t="shared" si="5"/>
        <v>novembre</v>
      </c>
      <c r="M12" s="64" t="e">
        <f t="shared" si="6"/>
        <v>#DIV/0!</v>
      </c>
      <c r="N12" s="64" t="e">
        <f t="shared" si="7"/>
        <v>#DIV/0!</v>
      </c>
    </row>
    <row r="13" spans="1:14" ht="15">
      <c r="A13" s="48" t="s">
        <v>36</v>
      </c>
      <c r="B13" s="71"/>
      <c r="C13" s="72"/>
      <c r="D13" s="43" t="str">
        <f t="shared" si="0"/>
        <v>dicembre</v>
      </c>
      <c r="E13" s="71"/>
      <c r="F13" s="72"/>
      <c r="G13" s="43" t="str">
        <f t="shared" si="2"/>
        <v>dicembre</v>
      </c>
      <c r="H13" s="68">
        <f t="shared" si="3"/>
        <v>0</v>
      </c>
      <c r="I13" s="68">
        <f t="shared" si="4"/>
        <v>0</v>
      </c>
      <c r="J13" s="70">
        <f t="shared" si="1"/>
        <v>0</v>
      </c>
      <c r="L13" s="43" t="str">
        <f t="shared" si="5"/>
        <v>dicembre</v>
      </c>
      <c r="M13" s="64" t="e">
        <f t="shared" si="6"/>
        <v>#DIV/0!</v>
      </c>
      <c r="N13" s="64" t="e">
        <f t="shared" si="7"/>
        <v>#DIV/0!</v>
      </c>
    </row>
    <row r="14" spans="1:14" ht="15">
      <c r="A14" s="49" t="s">
        <v>52</v>
      </c>
      <c r="B14" s="73">
        <f>SUM(B2:B13)</f>
        <v>0</v>
      </c>
      <c r="C14" s="73">
        <f>SUM(C2:C13)</f>
        <v>0</v>
      </c>
      <c r="D14" s="36" t="s">
        <v>127</v>
      </c>
      <c r="E14" s="73">
        <f>SUM(E2:E13)</f>
        <v>0</v>
      </c>
      <c r="F14" s="73">
        <f>SUM(F2:F13)</f>
        <v>0</v>
      </c>
      <c r="G14" s="36" t="s">
        <v>128</v>
      </c>
      <c r="H14" s="69">
        <f>SUM(H2:H13)</f>
        <v>0</v>
      </c>
      <c r="I14" s="69">
        <f>SUM(I2:I13)</f>
        <v>0</v>
      </c>
      <c r="J14" s="70">
        <f t="shared" si="1"/>
        <v>0</v>
      </c>
    </row>
    <row r="15" spans="1:14" ht="15.75" thickBot="1">
      <c r="A15" s="50" t="s">
        <v>37</v>
      </c>
      <c r="B15" s="51" t="e">
        <f>B14/(B14+C14)</f>
        <v>#DIV/0!</v>
      </c>
      <c r="C15" s="51" t="e">
        <f>C14/(B14+C14)</f>
        <v>#DIV/0!</v>
      </c>
      <c r="D15" s="52" t="s">
        <v>37</v>
      </c>
      <c r="E15" s="51" t="e">
        <f>E14/(E14+F14)</f>
        <v>#DIV/0!</v>
      </c>
      <c r="F15" s="51" t="e">
        <f>F14/(E14+F14)</f>
        <v>#DIV/0!</v>
      </c>
      <c r="G15" s="52" t="s">
        <v>37</v>
      </c>
      <c r="H15" s="51" t="e">
        <f>H14/(H14+I14)</f>
        <v>#DIV/0!</v>
      </c>
      <c r="I15" s="51" t="e">
        <f>I14/(H14+I14)</f>
        <v>#DIV/0!</v>
      </c>
      <c r="J15" s="53" t="e">
        <f>J14/(J14)</f>
        <v>#DIV/0!</v>
      </c>
    </row>
    <row r="16" spans="1:14" ht="15.75" thickBot="1">
      <c r="A16" s="91"/>
      <c r="B16" s="92"/>
      <c r="C16" s="92"/>
      <c r="D16" s="91"/>
      <c r="E16" s="92"/>
      <c r="F16" s="92"/>
      <c r="G16" s="91"/>
      <c r="H16" s="92"/>
      <c r="I16" s="92"/>
      <c r="J16" s="93"/>
      <c r="K16" s="57"/>
      <c r="L16" s="57"/>
    </row>
    <row r="17" spans="1:12" ht="15">
      <c r="A17" s="238" t="s">
        <v>45</v>
      </c>
      <c r="B17" s="239"/>
      <c r="C17" s="239"/>
      <c r="D17" s="239"/>
      <c r="E17" s="239"/>
      <c r="F17" s="239"/>
      <c r="G17" s="239"/>
      <c r="H17" s="239"/>
      <c r="I17" s="239"/>
      <c r="J17" s="240"/>
      <c r="K17" s="58"/>
      <c r="L17" s="58"/>
    </row>
    <row r="18" spans="1:12" ht="15">
      <c r="A18" s="54" t="s">
        <v>38</v>
      </c>
      <c r="B18" s="241"/>
      <c r="C18" s="241"/>
      <c r="D18" s="241"/>
      <c r="E18" s="241"/>
      <c r="F18" s="241"/>
      <c r="G18" s="241"/>
      <c r="H18" s="241"/>
      <c r="I18" s="241"/>
      <c r="J18" s="242"/>
      <c r="K18" s="59"/>
      <c r="L18" s="59"/>
    </row>
    <row r="19" spans="1:12" ht="15">
      <c r="A19" s="54" t="s">
        <v>39</v>
      </c>
      <c r="B19" s="243" t="str">
        <f>'Anagrafica sedi'!B2</f>
        <v>CENTRO AGROALIMENTARE DI NAPOLI SCPA</v>
      </c>
      <c r="C19" s="243"/>
      <c r="D19" s="243"/>
      <c r="E19" s="243"/>
      <c r="F19" s="243"/>
      <c r="G19" s="243"/>
      <c r="H19" s="243"/>
      <c r="I19" s="243"/>
      <c r="J19" s="244"/>
      <c r="K19" s="58"/>
      <c r="L19" s="58"/>
    </row>
    <row r="20" spans="1:12" ht="15">
      <c r="A20" s="54" t="s">
        <v>40</v>
      </c>
      <c r="B20" s="232"/>
      <c r="C20" s="232"/>
      <c r="D20" s="232"/>
      <c r="E20" s="232"/>
      <c r="F20" s="232"/>
      <c r="G20" s="232"/>
      <c r="H20" s="232"/>
      <c r="I20" s="232"/>
      <c r="J20" s="233"/>
      <c r="K20" s="58"/>
      <c r="L20" s="58"/>
    </row>
    <row r="21" spans="1:12" ht="15">
      <c r="A21" s="54" t="s">
        <v>41</v>
      </c>
      <c r="B21" s="232"/>
      <c r="C21" s="232"/>
      <c r="D21" s="232"/>
      <c r="E21" s="232"/>
      <c r="F21" s="232"/>
      <c r="G21" s="232"/>
      <c r="H21" s="232"/>
      <c r="I21" s="232"/>
      <c r="J21" s="233"/>
      <c r="K21" s="58"/>
      <c r="L21" s="58"/>
    </row>
    <row r="22" spans="1:12" ht="15">
      <c r="A22" s="54" t="s">
        <v>92</v>
      </c>
      <c r="B22" s="245"/>
      <c r="C22" s="246"/>
      <c r="D22" s="246"/>
      <c r="E22" s="246"/>
      <c r="F22" s="246"/>
      <c r="G22" s="246"/>
      <c r="H22" s="246"/>
      <c r="I22" s="246"/>
      <c r="J22" s="247"/>
      <c r="K22" s="58"/>
      <c r="L22" s="58"/>
    </row>
    <row r="23" spans="1:12" ht="15">
      <c r="A23" s="54" t="s">
        <v>42</v>
      </c>
      <c r="B23" s="232"/>
      <c r="C23" s="232"/>
      <c r="D23" s="232"/>
      <c r="E23" s="232"/>
      <c r="F23" s="232"/>
      <c r="G23" s="232"/>
      <c r="H23" s="232"/>
      <c r="I23" s="232"/>
      <c r="J23" s="233"/>
      <c r="K23" s="61"/>
      <c r="L23" s="60"/>
    </row>
    <row r="24" spans="1:12" ht="15">
      <c r="A24" s="54" t="s">
        <v>91</v>
      </c>
      <c r="B24" s="232"/>
      <c r="C24" s="232"/>
      <c r="D24" s="232"/>
      <c r="E24" s="232"/>
      <c r="F24" s="232"/>
      <c r="G24" s="232"/>
      <c r="H24" s="232"/>
      <c r="I24" s="232"/>
      <c r="J24" s="233"/>
      <c r="K24" s="61"/>
      <c r="L24" s="60"/>
    </row>
    <row r="25" spans="1:12" ht="15">
      <c r="A25" s="55" t="s">
        <v>43</v>
      </c>
      <c r="B25" s="234">
        <f>'elem. compilazione capitolato'!C3</f>
        <v>43831</v>
      </c>
      <c r="C25" s="234"/>
      <c r="D25" s="234"/>
      <c r="E25" s="234"/>
      <c r="F25" s="234"/>
      <c r="G25" s="234"/>
      <c r="H25" s="234"/>
      <c r="I25" s="234"/>
      <c r="J25" s="235"/>
      <c r="K25" s="66"/>
    </row>
    <row r="26" spans="1:12" ht="15.75" thickBot="1">
      <c r="A26" s="56" t="s">
        <v>44</v>
      </c>
      <c r="B26" s="236">
        <f>'elem. compilazione capitolato'!D3</f>
        <v>44196</v>
      </c>
      <c r="C26" s="236"/>
      <c r="D26" s="236"/>
      <c r="E26" s="236"/>
      <c r="F26" s="236"/>
      <c r="G26" s="236"/>
      <c r="H26" s="236"/>
      <c r="I26" s="236"/>
      <c r="J26" s="237"/>
      <c r="K26" s="67"/>
    </row>
    <row r="27" spans="1:12">
      <c r="A27" s="65"/>
      <c r="B27" s="65"/>
      <c r="C27" s="65"/>
      <c r="D27" s="65"/>
      <c r="E27" s="65"/>
      <c r="F27" s="65"/>
      <c r="G27" s="66"/>
      <c r="H27" s="66"/>
      <c r="I27" s="66"/>
      <c r="J27" s="66"/>
      <c r="K27" s="67"/>
    </row>
    <row r="28" spans="1:12">
      <c r="A28" s="67"/>
      <c r="B28" s="67"/>
      <c r="C28" s="67"/>
      <c r="D28" s="67"/>
      <c r="E28" s="67"/>
      <c r="F28" s="67"/>
      <c r="G28" s="67" t="s">
        <v>88</v>
      </c>
      <c r="H28" s="67"/>
      <c r="I28" s="67"/>
      <c r="J28" s="67"/>
      <c r="K28" s="67"/>
    </row>
    <row r="29" spans="1:1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</row>
    <row r="32" spans="1:1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</row>
    <row r="34" spans="1:1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</row>
    <row r="37" spans="1:1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  <row r="38" spans="1:1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1">
      <c r="A42" s="67"/>
      <c r="B42" s="67"/>
      <c r="C42" s="67"/>
      <c r="D42" s="67"/>
      <c r="E42" s="67"/>
      <c r="F42" s="67"/>
      <c r="G42" s="67"/>
      <c r="H42" s="67"/>
      <c r="I42" s="67"/>
      <c r="J42" s="67"/>
    </row>
  </sheetData>
  <mergeCells count="10">
    <mergeCell ref="B24:J24"/>
    <mergeCell ref="B25:J25"/>
    <mergeCell ref="B26:J26"/>
    <mergeCell ref="B23:J23"/>
    <mergeCell ref="A17:J17"/>
    <mergeCell ref="B18:J18"/>
    <mergeCell ref="B19:J19"/>
    <mergeCell ref="B20:J20"/>
    <mergeCell ref="B21:J21"/>
    <mergeCell ref="B22:J22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workbookViewId="0">
      <selection activeCell="C17" sqref="C17"/>
    </sheetView>
  </sheetViews>
  <sheetFormatPr defaultRowHeight="14.25"/>
  <cols>
    <col min="1" max="1" width="9.625" bestFit="1" customWidth="1"/>
    <col min="2" max="2" width="19.375" bestFit="1" customWidth="1"/>
    <col min="7" max="7" width="18.75" bestFit="1" customWidth="1"/>
    <col min="8" max="10" width="9.625" bestFit="1" customWidth="1"/>
    <col min="11" max="11" width="10.625" bestFit="1" customWidth="1"/>
  </cols>
  <sheetData>
    <row r="1" spans="2:11" ht="15" thickBot="1">
      <c r="G1" s="90" t="s">
        <v>89</v>
      </c>
      <c r="H1" s="248" t="str">
        <f>'Anagrafica sedi'!B2</f>
        <v>CENTRO AGROALIMENTARE DI NAPOLI SCPA</v>
      </c>
      <c r="I1" s="248"/>
      <c r="J1" s="248"/>
      <c r="K1" s="249"/>
    </row>
    <row r="2" spans="2:11">
      <c r="B2" s="9" t="str">
        <f>'Dettagli sede POP'!G1</f>
        <v>Previsione 2015</v>
      </c>
      <c r="C2" s="10" t="str">
        <f>'Dettagli sede POP'!H1</f>
        <v>Peak</v>
      </c>
      <c r="D2" s="10" t="str">
        <f>'Dettagli sede POP'!I1</f>
        <v>Off Peak</v>
      </c>
      <c r="E2" s="11" t="s">
        <v>52</v>
      </c>
      <c r="G2" s="80" t="s">
        <v>61</v>
      </c>
      <c r="H2" s="81" t="s">
        <v>54</v>
      </c>
      <c r="I2" s="84" t="str">
        <f>A17</f>
        <v>Fornitore 1</v>
      </c>
      <c r="J2" s="84" t="str">
        <f>A19</f>
        <v>Fornitore 2</v>
      </c>
      <c r="K2" s="85" t="str">
        <f>A21</f>
        <v>Fornitore 3</v>
      </c>
    </row>
    <row r="3" spans="2:11">
      <c r="B3" s="12" t="str">
        <f>'Dettagli sede POP'!G2</f>
        <v>gennaio</v>
      </c>
      <c r="C3" s="99">
        <f>'Dettagli sede POP'!H2/1000</f>
        <v>0</v>
      </c>
      <c r="D3" s="99">
        <f>'Dettagli sede POP'!I2/1000</f>
        <v>0</v>
      </c>
      <c r="E3" s="100">
        <f t="shared" ref="E3:E16" si="0">SUM(C3:D3)</f>
        <v>0</v>
      </c>
      <c r="G3" s="82" t="s">
        <v>76</v>
      </c>
      <c r="H3" s="83" t="str">
        <f>'elem. compilazione capitolato'!C5</f>
        <v>BON</v>
      </c>
      <c r="I3" s="88"/>
      <c r="J3" s="88"/>
      <c r="K3" s="89"/>
    </row>
    <row r="4" spans="2:11">
      <c r="B4" s="12" t="str">
        <f>'Dettagli sede POP'!G3</f>
        <v>febbraio</v>
      </c>
      <c r="C4" s="99">
        <f>'Dettagli sede POP'!H3/1000</f>
        <v>0</v>
      </c>
      <c r="D4" s="99">
        <f>'Dettagli sede POP'!I3/1000</f>
        <v>0</v>
      </c>
      <c r="E4" s="100">
        <f t="shared" si="0"/>
        <v>0</v>
      </c>
      <c r="G4" s="82" t="s">
        <v>17</v>
      </c>
      <c r="H4" s="83" t="str">
        <f>'elem. compilazione capitolato'!C6</f>
        <v>30 GGDF</v>
      </c>
      <c r="I4" s="88"/>
      <c r="J4" s="88"/>
      <c r="K4" s="89"/>
    </row>
    <row r="5" spans="2:11">
      <c r="B5" s="12" t="str">
        <f>'Dettagli sede POP'!G4</f>
        <v>marzo</v>
      </c>
      <c r="C5" s="99">
        <f>'Dettagli sede POP'!H4/1000</f>
        <v>0</v>
      </c>
      <c r="D5" s="99">
        <f>'Dettagli sede POP'!I4/1000</f>
        <v>0</v>
      </c>
      <c r="E5" s="100">
        <f t="shared" si="0"/>
        <v>0</v>
      </c>
      <c r="G5" s="82" t="s">
        <v>69</v>
      </c>
      <c r="H5" s="83" t="str">
        <f>'elem. compilazione capitolato'!C7</f>
        <v>SI</v>
      </c>
      <c r="I5" s="88"/>
      <c r="J5" s="88"/>
      <c r="K5" s="89"/>
    </row>
    <row r="6" spans="2:11">
      <c r="B6" s="12" t="str">
        <f>'Dettagli sede POP'!G5</f>
        <v>aprile</v>
      </c>
      <c r="C6" s="99">
        <f>'Dettagli sede POP'!H5/1000</f>
        <v>0</v>
      </c>
      <c r="D6" s="99">
        <f>'Dettagli sede POP'!I5/1000</f>
        <v>0</v>
      </c>
      <c r="E6" s="100">
        <f t="shared" si="0"/>
        <v>0</v>
      </c>
      <c r="G6" s="82" t="s">
        <v>55</v>
      </c>
      <c r="H6" s="83" t="str">
        <f>'elem. compilazione capitolato'!C8</f>
        <v>LIMITI DI LEGGE</v>
      </c>
      <c r="I6" s="88"/>
      <c r="J6" s="88"/>
      <c r="K6" s="89"/>
    </row>
    <row r="7" spans="2:11">
      <c r="B7" s="12" t="str">
        <f>'Dettagli sede POP'!G6</f>
        <v>maggio</v>
      </c>
      <c r="C7" s="99">
        <f>'Dettagli sede POP'!H6/1000</f>
        <v>0</v>
      </c>
      <c r="D7" s="99">
        <f>'Dettagli sede POP'!I6/1000</f>
        <v>0</v>
      </c>
      <c r="E7" s="100">
        <f t="shared" si="0"/>
        <v>0</v>
      </c>
      <c r="G7" s="82" t="s">
        <v>56</v>
      </c>
      <c r="H7" s="83" t="str">
        <f>'elem. compilazione capitolato'!C9</f>
        <v>NO</v>
      </c>
      <c r="I7" s="88"/>
      <c r="J7" s="88"/>
      <c r="K7" s="89"/>
    </row>
    <row r="8" spans="2:11">
      <c r="B8" s="12" t="str">
        <f>'Dettagli sede POP'!G7</f>
        <v>giugno</v>
      </c>
      <c r="C8" s="99">
        <f>'Dettagli sede POP'!H7/1000</f>
        <v>0</v>
      </c>
      <c r="D8" s="99">
        <f>'Dettagli sede POP'!I7/1000</f>
        <v>0</v>
      </c>
      <c r="E8" s="100">
        <f t="shared" si="0"/>
        <v>0</v>
      </c>
      <c r="G8" s="82" t="s">
        <v>80</v>
      </c>
      <c r="H8" s="83" t="str">
        <f>'elem. compilazione capitolato'!C12</f>
        <v>NO</v>
      </c>
      <c r="I8" s="88"/>
      <c r="J8" s="88"/>
      <c r="K8" s="89"/>
    </row>
    <row r="9" spans="2:11">
      <c r="B9" s="12" t="str">
        <f>'Dettagli sede POP'!G8</f>
        <v>luglio</v>
      </c>
      <c r="C9" s="99">
        <f>'Dettagli sede POP'!H8/1000</f>
        <v>0</v>
      </c>
      <c r="D9" s="99">
        <f>'Dettagli sede POP'!I8/1000</f>
        <v>0</v>
      </c>
      <c r="E9" s="100">
        <f t="shared" si="0"/>
        <v>0</v>
      </c>
      <c r="G9" s="82" t="s">
        <v>57</v>
      </c>
      <c r="H9" s="83" t="str">
        <f>'elem. compilazione capitolato'!C14</f>
        <v>NO</v>
      </c>
      <c r="I9" s="88"/>
      <c r="J9" s="88"/>
      <c r="K9" s="89"/>
    </row>
    <row r="10" spans="2:11" ht="15" thickBot="1">
      <c r="B10" s="12" t="str">
        <f>'Dettagli sede POP'!G9</f>
        <v>agosto</v>
      </c>
      <c r="C10" s="99">
        <f>'Dettagli sede POP'!H9/1000</f>
        <v>0</v>
      </c>
      <c r="D10" s="99">
        <f>'Dettagli sede POP'!I9/1000</f>
        <v>0</v>
      </c>
      <c r="E10" s="100">
        <f t="shared" si="0"/>
        <v>0</v>
      </c>
      <c r="G10" s="87" t="s">
        <v>90</v>
      </c>
      <c r="H10" s="86" t="str">
        <f>'elem. compilazione capitolato'!C16</f>
        <v>NO</v>
      </c>
      <c r="I10" s="78"/>
      <c r="J10" s="78"/>
      <c r="K10" s="77"/>
    </row>
    <row r="11" spans="2:11">
      <c r="B11" s="12" t="str">
        <f>'Dettagli sede POP'!G10</f>
        <v>settembre</v>
      </c>
      <c r="C11" s="99">
        <f>'Dettagli sede POP'!H10/1000</f>
        <v>0</v>
      </c>
      <c r="D11" s="99">
        <f>'Dettagli sede POP'!I10/1000</f>
        <v>0</v>
      </c>
      <c r="E11" s="100">
        <f t="shared" si="0"/>
        <v>0</v>
      </c>
    </row>
    <row r="12" spans="2:11" ht="15" thickBot="1">
      <c r="B12" s="12" t="str">
        <f>'Dettagli sede POP'!G11</f>
        <v>ottobre</v>
      </c>
      <c r="C12" s="99">
        <f>'Dettagli sede POP'!H11/1000</f>
        <v>0</v>
      </c>
      <c r="D12" s="99">
        <f>'Dettagli sede POP'!I11/1000</f>
        <v>0</v>
      </c>
      <c r="E12" s="100">
        <f t="shared" si="0"/>
        <v>0</v>
      </c>
    </row>
    <row r="13" spans="2:11">
      <c r="B13" s="12" t="str">
        <f>'Dettagli sede POP'!G12</f>
        <v>novembre</v>
      </c>
      <c r="C13" s="99">
        <f>'Dettagli sede POP'!H12/1000</f>
        <v>0</v>
      </c>
      <c r="D13" s="99">
        <f>'Dettagli sede POP'!I12/1000</f>
        <v>0</v>
      </c>
      <c r="E13" s="100">
        <f t="shared" si="0"/>
        <v>0</v>
      </c>
      <c r="G13" s="23" t="s">
        <v>58</v>
      </c>
      <c r="H13" s="28"/>
      <c r="I13" s="74" t="e">
        <f>E17</f>
        <v>#DIV/0!</v>
      </c>
      <c r="J13" s="18" t="e">
        <f>E19</f>
        <v>#DIV/0!</v>
      </c>
      <c r="K13" s="18" t="e">
        <f>E21</f>
        <v>#DIV/0!</v>
      </c>
    </row>
    <row r="14" spans="2:11" ht="15" thickBot="1">
      <c r="B14" s="12" t="str">
        <f>'Dettagli sede POP'!G13</f>
        <v>dicembre</v>
      </c>
      <c r="C14" s="99">
        <f>'Dettagli sede POP'!H13/1000</f>
        <v>0</v>
      </c>
      <c r="D14" s="99">
        <f>'Dettagli sede POP'!I13/1000</f>
        <v>0</v>
      </c>
      <c r="E14" s="100">
        <f t="shared" si="0"/>
        <v>0</v>
      </c>
      <c r="G14" s="24" t="s">
        <v>59</v>
      </c>
      <c r="H14" s="22"/>
      <c r="I14" s="75" t="e">
        <f>(I13-I13)*E15</f>
        <v>#DIV/0!</v>
      </c>
      <c r="J14" s="75" t="e">
        <f>(J13-I13)*E15</f>
        <v>#DIV/0!</v>
      </c>
      <c r="K14" s="75" t="e">
        <f>(K13-I13)*E15</f>
        <v>#DIV/0!</v>
      </c>
    </row>
    <row r="15" spans="2:11" ht="15" thickBot="1">
      <c r="B15" s="12" t="str">
        <f>'Dettagli sede POP'!G14</f>
        <v>Totale previsione</v>
      </c>
      <c r="C15" s="99">
        <f>'Dettagli sede POP'!H14/1000</f>
        <v>0</v>
      </c>
      <c r="D15" s="99">
        <f>'Dettagli sede POP'!I14/1000</f>
        <v>0</v>
      </c>
      <c r="E15" s="100">
        <f>SUM(C15:D15)</f>
        <v>0</v>
      </c>
    </row>
    <row r="16" spans="2:11" ht="15" thickBot="1">
      <c r="B16" s="14" t="str">
        <f>'Dettagli sede POP'!G15</f>
        <v>Ripartizione</v>
      </c>
      <c r="C16" s="101" t="e">
        <f>'Dettagli sede POP'!H15</f>
        <v>#DIV/0!</v>
      </c>
      <c r="D16" s="101" t="e">
        <f>'Dettagli sede POP'!I15</f>
        <v>#DIV/0!</v>
      </c>
      <c r="E16" s="102" t="e">
        <f t="shared" si="0"/>
        <v>#DIV/0!</v>
      </c>
      <c r="G16" s="23" t="s">
        <v>60</v>
      </c>
      <c r="H16" s="10"/>
      <c r="I16" s="28"/>
      <c r="J16" s="28"/>
      <c r="K16" s="28"/>
    </row>
    <row r="17" spans="1:11" ht="15" thickBot="1">
      <c r="A17" s="38" t="s">
        <v>70</v>
      </c>
      <c r="B17" s="9" t="s">
        <v>53</v>
      </c>
      <c r="C17" s="27"/>
      <c r="D17" s="27"/>
      <c r="E17" s="19" t="e">
        <f>E18/E15</f>
        <v>#DIV/0!</v>
      </c>
      <c r="F17" s="26"/>
      <c r="G17" s="24" t="s">
        <v>59</v>
      </c>
      <c r="H17" s="22"/>
      <c r="I17" s="29">
        <f>(I16-I16)*E15</f>
        <v>0</v>
      </c>
      <c r="J17" s="29">
        <f>(J16-I16)*E15</f>
        <v>0</v>
      </c>
      <c r="K17" s="29">
        <f>(K16-I16)*E15</f>
        <v>0</v>
      </c>
    </row>
    <row r="18" spans="1:11">
      <c r="A18" s="30"/>
      <c r="B18" s="12" t="s">
        <v>51</v>
      </c>
      <c r="C18" s="15">
        <f>C15*C17</f>
        <v>0</v>
      </c>
      <c r="D18" s="15">
        <f>D15*D17</f>
        <v>0</v>
      </c>
      <c r="E18" s="16">
        <f>SUM(C18:D18)</f>
        <v>0</v>
      </c>
    </row>
    <row r="19" spans="1:11">
      <c r="A19" s="38" t="s">
        <v>71</v>
      </c>
      <c r="B19" s="12" t="s">
        <v>53</v>
      </c>
      <c r="C19" s="37"/>
      <c r="D19" s="37"/>
      <c r="E19" s="16" t="e">
        <f>E20/E15</f>
        <v>#DIV/0!</v>
      </c>
      <c r="F19" s="26"/>
      <c r="G19" s="30"/>
    </row>
    <row r="20" spans="1:11">
      <c r="A20" s="30"/>
      <c r="B20" s="12" t="s">
        <v>51</v>
      </c>
      <c r="C20" s="15">
        <f>C15*C19</f>
        <v>0</v>
      </c>
      <c r="D20" s="15">
        <f t="shared" ref="D20" si="1">D15*D19</f>
        <v>0</v>
      </c>
      <c r="E20" s="16">
        <f>SUM(C20:D20)</f>
        <v>0</v>
      </c>
    </row>
    <row r="21" spans="1:11">
      <c r="A21" s="38" t="s">
        <v>72</v>
      </c>
      <c r="B21" s="12" t="s">
        <v>53</v>
      </c>
      <c r="C21" s="37"/>
      <c r="D21" s="37"/>
      <c r="E21" s="25" t="e">
        <f>E22/E15</f>
        <v>#DIV/0!</v>
      </c>
      <c r="F21" s="26"/>
    </row>
    <row r="22" spans="1:11" ht="15" thickBot="1">
      <c r="B22" s="17" t="s">
        <v>51</v>
      </c>
      <c r="C22" s="20">
        <f>C21*C15</f>
        <v>0</v>
      </c>
      <c r="D22" s="20">
        <f t="shared" ref="D22" si="2">D21*D15</f>
        <v>0</v>
      </c>
      <c r="E22" s="21">
        <f>SUM(C22:D22)</f>
        <v>0</v>
      </c>
    </row>
  </sheetData>
  <mergeCells count="1">
    <mergeCell ref="H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3"/>
  <sheetViews>
    <sheetView showGridLines="0" workbookViewId="0">
      <selection activeCell="B5" sqref="B5:D5"/>
    </sheetView>
  </sheetViews>
  <sheetFormatPr defaultRowHeight="14.25"/>
  <cols>
    <col min="1" max="1" width="21.375" customWidth="1"/>
    <col min="2" max="2" width="21.25" bestFit="1" customWidth="1"/>
    <col min="3" max="3" width="10.875" bestFit="1" customWidth="1"/>
  </cols>
  <sheetData>
    <row r="1" spans="1:4" ht="75" customHeight="1">
      <c r="A1" s="80" t="s">
        <v>94</v>
      </c>
      <c r="B1" s="252" t="s">
        <v>285</v>
      </c>
      <c r="C1" s="253"/>
      <c r="D1" s="254"/>
    </row>
    <row r="2" spans="1:4">
      <c r="A2" s="82" t="s">
        <v>93</v>
      </c>
      <c r="B2" s="83" t="s">
        <v>121</v>
      </c>
      <c r="C2" s="255">
        <f>('Dettagli sede 18106'!J15+'Dettagli sede 18106'!E15)/1000</f>
        <v>47372.239000000001</v>
      </c>
      <c r="D2" s="256"/>
    </row>
    <row r="3" spans="1:4">
      <c r="A3" s="82" t="s">
        <v>235</v>
      </c>
      <c r="B3" s="98">
        <f>'elem. compilazione capitolato'!C3</f>
        <v>43831</v>
      </c>
      <c r="C3" s="261">
        <f>'elem. compilazione capitolato'!D3</f>
        <v>44196</v>
      </c>
      <c r="D3" s="262"/>
    </row>
    <row r="4" spans="1:4">
      <c r="A4" s="209" t="s">
        <v>278</v>
      </c>
      <c r="B4" s="210">
        <f>'elem. compilazione capitolato'!C4</f>
        <v>43891</v>
      </c>
      <c r="C4" s="257">
        <f>'elem. compilazione capitolato'!D4</f>
        <v>44255</v>
      </c>
      <c r="D4" s="258"/>
    </row>
    <row r="5" spans="1:4">
      <c r="A5" s="209" t="s">
        <v>122</v>
      </c>
      <c r="B5" s="259" t="s">
        <v>279</v>
      </c>
      <c r="C5" s="259"/>
      <c r="D5" s="260"/>
    </row>
    <row r="6" spans="1:4">
      <c r="A6" s="82" t="s">
        <v>95</v>
      </c>
      <c r="B6" s="250" t="str">
        <f>IF('elem. compilazione capitolato'!C5&lt;&gt;"",'elem. compilazione capitolato'!C5,"")</f>
        <v>BON</v>
      </c>
      <c r="C6" s="250"/>
      <c r="D6" s="251"/>
    </row>
    <row r="7" spans="1:4">
      <c r="A7" s="82" t="s">
        <v>96</v>
      </c>
      <c r="B7" s="250" t="str">
        <f>IF('elem. compilazione capitolato'!C6&lt;&gt;"",'elem. compilazione capitolato'!C6,"")</f>
        <v>30 GGDF</v>
      </c>
      <c r="C7" s="250"/>
      <c r="D7" s="251"/>
    </row>
    <row r="8" spans="1:4">
      <c r="A8" s="82" t="s">
        <v>97</v>
      </c>
      <c r="B8" s="250" t="str">
        <f>IF('elem. compilazione capitolato'!C8&lt;&gt;"",'elem. compilazione capitolato'!C8,"")</f>
        <v>LIMITI DI LEGGE</v>
      </c>
      <c r="C8" s="250"/>
      <c r="D8" s="251"/>
    </row>
    <row r="9" spans="1:4">
      <c r="A9" s="82" t="s">
        <v>56</v>
      </c>
      <c r="B9" s="250" t="str">
        <f>IF('elem. compilazione capitolato'!C9&lt;&gt;"",'elem. compilazione capitolato'!C9,"")</f>
        <v>NO</v>
      </c>
      <c r="C9" s="250"/>
      <c r="D9" s="251"/>
    </row>
    <row r="10" spans="1:4">
      <c r="A10" s="82" t="s">
        <v>98</v>
      </c>
      <c r="B10" s="83" t="str">
        <f>'elem. compilazione capitolato'!C10</f>
        <v>FISSO</v>
      </c>
      <c r="C10" s="250">
        <f>IF('elem. compilazione capitolato'!C10&lt;&gt;"",'elem. compilazione capitolato'!D10,"")</f>
        <v>0</v>
      </c>
      <c r="D10" s="251"/>
    </row>
    <row r="11" spans="1:4">
      <c r="A11" s="14" t="s">
        <v>99</v>
      </c>
      <c r="B11" s="250" t="s">
        <v>100</v>
      </c>
      <c r="C11" s="250"/>
      <c r="D11" s="251"/>
    </row>
    <row r="12" spans="1:4">
      <c r="A12" s="94"/>
      <c r="B12" s="250" t="s">
        <v>101</v>
      </c>
      <c r="C12" s="250"/>
      <c r="D12" s="251"/>
    </row>
    <row r="13" spans="1:4">
      <c r="A13" s="94"/>
      <c r="B13" s="250" t="s">
        <v>102</v>
      </c>
      <c r="C13" s="250"/>
      <c r="D13" s="251"/>
    </row>
    <row r="14" spans="1:4">
      <c r="A14" s="94"/>
      <c r="B14" s="250" t="s">
        <v>103</v>
      </c>
      <c r="C14" s="250"/>
      <c r="D14" s="251"/>
    </row>
    <row r="15" spans="1:4">
      <c r="A15" s="94"/>
      <c r="B15" s="250" t="s">
        <v>104</v>
      </c>
      <c r="C15" s="250"/>
      <c r="D15" s="251"/>
    </row>
    <row r="16" spans="1:4">
      <c r="A16" s="94"/>
      <c r="B16" s="250" t="s">
        <v>105</v>
      </c>
      <c r="C16" s="250"/>
      <c r="D16" s="251"/>
    </row>
    <row r="17" spans="1:4">
      <c r="A17" s="94"/>
      <c r="B17" s="229" t="s">
        <v>129</v>
      </c>
      <c r="C17" s="263"/>
      <c r="D17" s="264"/>
    </row>
    <row r="18" spans="1:4">
      <c r="A18" s="95"/>
      <c r="B18" s="250" t="s">
        <v>106</v>
      </c>
      <c r="C18" s="250"/>
      <c r="D18" s="251"/>
    </row>
    <row r="19" spans="1:4">
      <c r="A19" s="14" t="s">
        <v>107</v>
      </c>
      <c r="B19" s="250" t="s">
        <v>108</v>
      </c>
      <c r="C19" s="250"/>
      <c r="D19" s="251"/>
    </row>
    <row r="20" spans="1:4">
      <c r="A20" s="94"/>
      <c r="B20" s="250" t="s">
        <v>109</v>
      </c>
      <c r="C20" s="250"/>
      <c r="D20" s="251"/>
    </row>
    <row r="21" spans="1:4">
      <c r="A21" s="94"/>
      <c r="B21" s="250" t="s">
        <v>110</v>
      </c>
      <c r="C21" s="250"/>
      <c r="D21" s="251"/>
    </row>
    <row r="22" spans="1:4">
      <c r="A22" s="94"/>
      <c r="B22" s="250" t="s">
        <v>111</v>
      </c>
      <c r="C22" s="250"/>
      <c r="D22" s="251"/>
    </row>
    <row r="23" spans="1:4">
      <c r="A23" s="94"/>
      <c r="B23" s="250" t="s">
        <v>113</v>
      </c>
      <c r="C23" s="250"/>
      <c r="D23" s="251"/>
    </row>
    <row r="24" spans="1:4">
      <c r="A24" s="94"/>
      <c r="B24" s="250" t="s">
        <v>112</v>
      </c>
      <c r="C24" s="250"/>
      <c r="D24" s="251"/>
    </row>
    <row r="25" spans="1:4">
      <c r="A25" s="95"/>
      <c r="B25" s="250" t="s">
        <v>114</v>
      </c>
      <c r="C25" s="250"/>
      <c r="D25" s="251"/>
    </row>
    <row r="26" spans="1:4">
      <c r="A26" s="82" t="s">
        <v>90</v>
      </c>
      <c r="B26" s="250" t="str">
        <f>'elem. compilazione capitolato'!C16</f>
        <v>NO</v>
      </c>
      <c r="C26" s="250"/>
      <c r="D26" s="251"/>
    </row>
    <row r="27" spans="1:4">
      <c r="A27" s="82" t="s">
        <v>69</v>
      </c>
      <c r="B27" s="250" t="str">
        <f>'elem. compilazione capitolato'!C7</f>
        <v>SI</v>
      </c>
      <c r="C27" s="250"/>
      <c r="D27" s="251"/>
    </row>
    <row r="28" spans="1:4">
      <c r="A28" s="14" t="s">
        <v>115</v>
      </c>
      <c r="B28" s="97" t="s">
        <v>116</v>
      </c>
      <c r="C28" s="266" t="str">
        <f>'elem. compilazione capitolato'!C14:D14</f>
        <v>NO</v>
      </c>
      <c r="D28" s="267"/>
    </row>
    <row r="29" spans="1:4">
      <c r="A29" s="94"/>
      <c r="B29" s="250" t="s">
        <v>117</v>
      </c>
      <c r="C29" s="250"/>
      <c r="D29" s="251"/>
    </row>
    <row r="30" spans="1:4">
      <c r="A30" s="94"/>
      <c r="B30" s="250" t="s">
        <v>118</v>
      </c>
      <c r="C30" s="250"/>
      <c r="D30" s="251"/>
    </row>
    <row r="31" spans="1:4">
      <c r="A31" s="94"/>
      <c r="B31" s="250" t="s">
        <v>119</v>
      </c>
      <c r="C31" s="250"/>
      <c r="D31" s="251"/>
    </row>
    <row r="32" spans="1:4" ht="15" thickBot="1">
      <c r="A32" s="96"/>
      <c r="B32" s="268" t="s">
        <v>120</v>
      </c>
      <c r="C32" s="268"/>
      <c r="D32" s="269"/>
    </row>
    <row r="33" spans="1:4" ht="26.25" customHeight="1">
      <c r="A33" s="265" t="s">
        <v>123</v>
      </c>
      <c r="B33" s="265"/>
      <c r="C33" s="265"/>
      <c r="D33" s="265"/>
    </row>
  </sheetData>
  <mergeCells count="33">
    <mergeCell ref="B16:D16"/>
    <mergeCell ref="B17:D17"/>
    <mergeCell ref="A33:D33"/>
    <mergeCell ref="C28:D28"/>
    <mergeCell ref="B11:D11"/>
    <mergeCell ref="B14:D14"/>
    <mergeCell ref="B15:D15"/>
    <mergeCell ref="B18:D18"/>
    <mergeCell ref="B31:D31"/>
    <mergeCell ref="B32:D32"/>
    <mergeCell ref="B25:D25"/>
    <mergeCell ref="B26:D26"/>
    <mergeCell ref="B27:D27"/>
    <mergeCell ref="B29:D29"/>
    <mergeCell ref="B30:D30"/>
    <mergeCell ref="B19:D19"/>
    <mergeCell ref="B1:D1"/>
    <mergeCell ref="C2:D2"/>
    <mergeCell ref="C4:D4"/>
    <mergeCell ref="B5:D5"/>
    <mergeCell ref="B6:D6"/>
    <mergeCell ref="C3:D3"/>
    <mergeCell ref="B7:D7"/>
    <mergeCell ref="B9:D9"/>
    <mergeCell ref="B8:D8"/>
    <mergeCell ref="C10:D10"/>
    <mergeCell ref="B13:D13"/>
    <mergeCell ref="B12:D12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B152"/>
  <sheetViews>
    <sheetView zoomScale="60" zoomScaleNormal="60" workbookViewId="0">
      <selection activeCell="BI64" sqref="BI64"/>
    </sheetView>
  </sheetViews>
  <sheetFormatPr defaultColWidth="14.125" defaultRowHeight="14.25"/>
  <cols>
    <col min="1" max="1" width="19.375" bestFit="1" customWidth="1"/>
    <col min="6" max="6" width="19.375" bestFit="1" customWidth="1"/>
    <col min="11" max="11" width="19.375" bestFit="1" customWidth="1"/>
    <col min="15" max="15" width="14.125" style="30"/>
    <col min="16" max="16" width="19.375" bestFit="1" customWidth="1"/>
    <col min="21" max="21" width="19.375" bestFit="1" customWidth="1"/>
    <col min="26" max="26" width="19.375" bestFit="1" customWidth="1"/>
    <col min="31" max="31" width="19.375" bestFit="1" customWidth="1"/>
    <col min="32" max="32" width="14.125" customWidth="1"/>
    <col min="76" max="185" width="14.125" customWidth="1"/>
  </cols>
  <sheetData>
    <row r="1" spans="1:184" ht="15">
      <c r="A1" s="91"/>
      <c r="B1" s="112" t="s">
        <v>139</v>
      </c>
      <c r="C1" s="112"/>
      <c r="D1" s="113"/>
      <c r="F1" s="114"/>
      <c r="G1" s="112" t="s">
        <v>140</v>
      </c>
      <c r="H1" s="112"/>
      <c r="I1" s="113"/>
      <c r="L1" s="112" t="s">
        <v>141</v>
      </c>
      <c r="Q1" s="112" t="s">
        <v>142</v>
      </c>
      <c r="V1" s="112" t="s">
        <v>142</v>
      </c>
      <c r="AA1" s="112" t="s">
        <v>142</v>
      </c>
      <c r="AF1" s="112" t="s">
        <v>142</v>
      </c>
      <c r="AK1" s="112" t="s">
        <v>142</v>
      </c>
      <c r="AP1" s="112" t="s">
        <v>142</v>
      </c>
      <c r="AU1" s="112" t="s">
        <v>142</v>
      </c>
      <c r="AZ1" s="112" t="s">
        <v>142</v>
      </c>
      <c r="BE1" s="112" t="s">
        <v>142</v>
      </c>
      <c r="BJ1" s="112" t="s">
        <v>142</v>
      </c>
      <c r="BO1" s="112" t="s">
        <v>142</v>
      </c>
      <c r="BT1" s="112" t="s">
        <v>142</v>
      </c>
      <c r="BX1" s="30"/>
      <c r="BY1" s="112" t="s">
        <v>211</v>
      </c>
      <c r="BZ1" s="30"/>
      <c r="CA1" s="30"/>
      <c r="CB1" s="30"/>
      <c r="CC1" s="30"/>
      <c r="CD1" s="112" t="s">
        <v>211</v>
      </c>
      <c r="CE1" s="30"/>
      <c r="CF1" s="30"/>
      <c r="CG1" s="30"/>
      <c r="CH1" s="30"/>
      <c r="CI1" s="112" t="s">
        <v>211</v>
      </c>
      <c r="CJ1" s="30"/>
      <c r="CK1" s="30"/>
      <c r="CL1" s="30"/>
      <c r="CM1" s="30"/>
      <c r="CN1" s="112" t="s">
        <v>211</v>
      </c>
      <c r="CO1" s="30"/>
      <c r="CP1" s="30"/>
      <c r="CS1" s="112" t="s">
        <v>140</v>
      </c>
      <c r="CX1" s="112" t="s">
        <v>140</v>
      </c>
      <c r="DC1" s="112" t="s">
        <v>140</v>
      </c>
      <c r="DH1" s="112" t="s">
        <v>236</v>
      </c>
      <c r="DM1" s="112" t="s">
        <v>236</v>
      </c>
      <c r="DR1" s="112" t="s">
        <v>236</v>
      </c>
      <c r="DW1" s="112" t="s">
        <v>236</v>
      </c>
      <c r="EB1" s="112" t="s">
        <v>236</v>
      </c>
      <c r="EG1" s="112" t="s">
        <v>236</v>
      </c>
      <c r="EL1" s="112" t="s">
        <v>236</v>
      </c>
      <c r="EQ1" s="112" t="s">
        <v>236</v>
      </c>
      <c r="EV1" s="112" t="s">
        <v>236</v>
      </c>
      <c r="FA1" s="112" t="s">
        <v>236</v>
      </c>
      <c r="FF1" s="112" t="s">
        <v>236</v>
      </c>
      <c r="FK1" s="112" t="s">
        <v>236</v>
      </c>
      <c r="FP1" s="112" t="s">
        <v>269</v>
      </c>
      <c r="FU1" s="112" t="s">
        <v>269</v>
      </c>
      <c r="FZ1" s="112" t="s">
        <v>269</v>
      </c>
    </row>
    <row r="2" spans="1:184" ht="15">
      <c r="B2" s="181" t="s">
        <v>157</v>
      </c>
      <c r="C2" s="116"/>
      <c r="D2" s="116"/>
      <c r="G2" s="182" t="s">
        <v>159</v>
      </c>
      <c r="H2" s="116"/>
      <c r="I2" s="116"/>
      <c r="L2" s="182" t="s">
        <v>160</v>
      </c>
      <c r="M2" s="116"/>
      <c r="Q2" s="182" t="s">
        <v>162</v>
      </c>
      <c r="R2" s="116"/>
      <c r="V2" s="182" t="s">
        <v>230</v>
      </c>
      <c r="W2" s="116"/>
      <c r="AA2" s="182" t="s">
        <v>165</v>
      </c>
      <c r="AB2" s="116"/>
      <c r="AF2" s="182" t="s">
        <v>228</v>
      </c>
      <c r="AG2" s="116"/>
      <c r="AK2" s="182" t="s">
        <v>166</v>
      </c>
      <c r="AL2" s="116"/>
      <c r="AP2" s="182" t="s">
        <v>168</v>
      </c>
      <c r="AQ2" s="116"/>
      <c r="AU2" s="182" t="s">
        <v>169</v>
      </c>
      <c r="AV2" s="116"/>
      <c r="AZ2" s="182" t="s">
        <v>170</v>
      </c>
      <c r="BA2" s="116"/>
      <c r="BE2" s="182" t="s">
        <v>171</v>
      </c>
      <c r="BF2" s="116"/>
      <c r="BJ2" s="182" t="s">
        <v>219</v>
      </c>
      <c r="BK2" s="196"/>
      <c r="BN2" s="170"/>
      <c r="BO2" s="182" t="s">
        <v>174</v>
      </c>
      <c r="BP2" s="116"/>
      <c r="BT2" s="182" t="s">
        <v>220</v>
      </c>
      <c r="BU2" s="116"/>
      <c r="BX2" s="30"/>
      <c r="BY2" s="182" t="s">
        <v>210</v>
      </c>
      <c r="BZ2" s="116"/>
      <c r="CA2" s="30"/>
      <c r="CB2" s="30"/>
      <c r="CC2" s="30"/>
      <c r="CD2" s="182" t="s">
        <v>213</v>
      </c>
      <c r="CE2" s="116"/>
      <c r="CF2" s="30"/>
      <c r="CG2" s="30"/>
      <c r="CH2" s="30"/>
      <c r="CI2" s="182" t="s">
        <v>214</v>
      </c>
      <c r="CJ2" s="116"/>
      <c r="CK2" s="30"/>
      <c r="CL2" s="30"/>
      <c r="CM2" s="30"/>
      <c r="CN2" s="182" t="s">
        <v>215</v>
      </c>
      <c r="CO2" s="116"/>
      <c r="CP2" s="30"/>
      <c r="CR2" s="30"/>
      <c r="CS2" s="182" t="s">
        <v>221</v>
      </c>
      <c r="CT2" s="116"/>
      <c r="CU2" s="30"/>
      <c r="CW2" s="30"/>
      <c r="CX2" s="182" t="s">
        <v>222</v>
      </c>
      <c r="CY2" s="116"/>
      <c r="CZ2" s="30"/>
      <c r="DB2" s="30"/>
      <c r="DC2" s="182" t="s">
        <v>223</v>
      </c>
      <c r="DD2" s="116"/>
      <c r="DE2" s="30"/>
      <c r="DG2" s="30"/>
      <c r="DH2" s="182" t="s">
        <v>237</v>
      </c>
      <c r="DI2" s="170"/>
      <c r="DJ2" s="30"/>
      <c r="DL2" s="30"/>
      <c r="DM2" s="182" t="s">
        <v>238</v>
      </c>
      <c r="DN2" s="170"/>
      <c r="DO2" s="30"/>
      <c r="DQ2" s="30"/>
      <c r="DR2" s="182" t="s">
        <v>239</v>
      </c>
      <c r="DS2" s="170"/>
      <c r="DT2" s="30"/>
      <c r="DV2" s="30"/>
      <c r="DW2" s="182" t="s">
        <v>240</v>
      </c>
      <c r="DX2" s="170"/>
      <c r="DY2" s="30"/>
      <c r="EA2" s="30"/>
      <c r="EB2" s="182" t="s">
        <v>241</v>
      </c>
      <c r="EC2" s="170"/>
      <c r="ED2" s="30"/>
      <c r="EF2" s="30"/>
      <c r="EG2" s="182" t="s">
        <v>242</v>
      </c>
      <c r="EH2" s="170"/>
      <c r="EI2" s="30"/>
      <c r="EK2" s="30"/>
      <c r="EL2" s="182" t="s">
        <v>243</v>
      </c>
      <c r="EM2" s="170"/>
      <c r="EN2" s="30"/>
      <c r="EP2" s="30"/>
      <c r="EQ2" s="182" t="s">
        <v>244</v>
      </c>
      <c r="ER2" s="170"/>
      <c r="ES2" s="30"/>
      <c r="EU2" s="30"/>
      <c r="EV2" s="182" t="s">
        <v>245</v>
      </c>
      <c r="EW2" s="170"/>
      <c r="EX2" s="30"/>
      <c r="EZ2" s="30"/>
      <c r="FA2" s="182" t="s">
        <v>246</v>
      </c>
      <c r="FB2" s="170"/>
      <c r="FC2" s="30"/>
      <c r="FE2" s="30"/>
      <c r="FF2" s="182" t="s">
        <v>247</v>
      </c>
      <c r="FG2" s="170"/>
      <c r="FH2" s="30"/>
      <c r="FJ2" s="30"/>
      <c r="FK2" s="182" t="s">
        <v>248</v>
      </c>
      <c r="FL2" s="170"/>
      <c r="FM2" s="30"/>
      <c r="FO2" s="30"/>
      <c r="FP2" s="182" t="s">
        <v>266</v>
      </c>
      <c r="FQ2" s="170"/>
      <c r="FR2" s="30"/>
      <c r="FT2" s="30"/>
      <c r="FU2" s="182" t="s">
        <v>267</v>
      </c>
      <c r="FV2" s="170"/>
      <c r="FW2" s="30"/>
      <c r="FY2" s="30"/>
      <c r="FZ2" s="182" t="s">
        <v>268</v>
      </c>
      <c r="GA2" s="170"/>
      <c r="GB2" s="30"/>
    </row>
    <row r="3" spans="1:184" ht="15">
      <c r="A3" s="62">
        <v>2018</v>
      </c>
      <c r="B3" s="63" t="s">
        <v>22</v>
      </c>
      <c r="C3" s="63" t="s">
        <v>23</v>
      </c>
      <c r="D3" s="63" t="s">
        <v>24</v>
      </c>
      <c r="F3" s="62">
        <f>A3</f>
        <v>2018</v>
      </c>
      <c r="G3" s="63" t="s">
        <v>22</v>
      </c>
      <c r="H3" s="63" t="s">
        <v>23</v>
      </c>
      <c r="I3" s="63" t="s">
        <v>24</v>
      </c>
      <c r="K3" s="62">
        <f>F3</f>
        <v>2018</v>
      </c>
      <c r="L3" s="63" t="s">
        <v>22</v>
      </c>
      <c r="M3" s="63" t="s">
        <v>23</v>
      </c>
      <c r="N3" s="63" t="s">
        <v>24</v>
      </c>
      <c r="P3" s="62">
        <f>K3</f>
        <v>2018</v>
      </c>
      <c r="Q3" s="63" t="s">
        <v>22</v>
      </c>
      <c r="R3" s="63" t="s">
        <v>23</v>
      </c>
      <c r="S3" s="63" t="s">
        <v>24</v>
      </c>
      <c r="U3" s="62">
        <f>P3</f>
        <v>2018</v>
      </c>
      <c r="V3" s="63" t="s">
        <v>22</v>
      </c>
      <c r="W3" s="63" t="s">
        <v>23</v>
      </c>
      <c r="X3" s="63" t="s">
        <v>24</v>
      </c>
      <c r="Z3" s="62">
        <f>U3</f>
        <v>2018</v>
      </c>
      <c r="AA3" s="63" t="s">
        <v>22</v>
      </c>
      <c r="AB3" s="63" t="s">
        <v>23</v>
      </c>
      <c r="AC3" s="63" t="s">
        <v>24</v>
      </c>
      <c r="AE3" s="62">
        <f>Z3</f>
        <v>2018</v>
      </c>
      <c r="AF3" s="63" t="s">
        <v>22</v>
      </c>
      <c r="AG3" s="63" t="s">
        <v>23</v>
      </c>
      <c r="AH3" s="63" t="s">
        <v>24</v>
      </c>
      <c r="AJ3" s="62">
        <f>AE3</f>
        <v>2018</v>
      </c>
      <c r="AK3" s="63" t="s">
        <v>22</v>
      </c>
      <c r="AL3" s="63" t="s">
        <v>23</v>
      </c>
      <c r="AM3" s="63" t="s">
        <v>24</v>
      </c>
      <c r="AO3" s="62">
        <f>AJ3</f>
        <v>2018</v>
      </c>
      <c r="AP3" s="63" t="s">
        <v>22</v>
      </c>
      <c r="AQ3" s="63" t="s">
        <v>23</v>
      </c>
      <c r="AR3" s="63" t="s">
        <v>24</v>
      </c>
      <c r="AT3" s="62">
        <f>AO3</f>
        <v>2018</v>
      </c>
      <c r="AU3" s="63" t="s">
        <v>22</v>
      </c>
      <c r="AV3" s="63" t="s">
        <v>23</v>
      </c>
      <c r="AW3" s="63" t="s">
        <v>24</v>
      </c>
      <c r="AY3" s="62">
        <f>AT3</f>
        <v>2018</v>
      </c>
      <c r="AZ3" s="63" t="s">
        <v>22</v>
      </c>
      <c r="BA3" s="63" t="s">
        <v>23</v>
      </c>
      <c r="BB3" s="63" t="s">
        <v>24</v>
      </c>
      <c r="BD3" s="62">
        <f>AY3</f>
        <v>2018</v>
      </c>
      <c r="BE3" s="63" t="s">
        <v>22</v>
      </c>
      <c r="BF3" s="63" t="s">
        <v>23</v>
      </c>
      <c r="BG3" s="63" t="s">
        <v>24</v>
      </c>
      <c r="BI3" s="62">
        <v>2018</v>
      </c>
      <c r="BJ3" s="63" t="s">
        <v>22</v>
      </c>
      <c r="BK3" s="63" t="s">
        <v>23</v>
      </c>
      <c r="BL3" s="63" t="s">
        <v>24</v>
      </c>
      <c r="BN3" s="62">
        <f>BI3</f>
        <v>2018</v>
      </c>
      <c r="BO3" s="63" t="s">
        <v>22</v>
      </c>
      <c r="BP3" s="63" t="s">
        <v>23</v>
      </c>
      <c r="BQ3" s="63" t="s">
        <v>24</v>
      </c>
      <c r="BS3" s="62">
        <f>BN3</f>
        <v>2018</v>
      </c>
      <c r="BT3" s="63" t="s">
        <v>22</v>
      </c>
      <c r="BU3" s="63" t="s">
        <v>23</v>
      </c>
      <c r="BV3" s="63" t="s">
        <v>24</v>
      </c>
      <c r="BX3" s="62">
        <f>BS3</f>
        <v>2018</v>
      </c>
      <c r="BY3" s="63" t="s">
        <v>22</v>
      </c>
      <c r="BZ3" s="63" t="s">
        <v>23</v>
      </c>
      <c r="CA3" s="63" t="s">
        <v>24</v>
      </c>
      <c r="CB3" s="30"/>
      <c r="CC3" s="62">
        <f>BX3</f>
        <v>2018</v>
      </c>
      <c r="CD3" s="63" t="s">
        <v>22</v>
      </c>
      <c r="CE3" s="63" t="s">
        <v>23</v>
      </c>
      <c r="CF3" s="63" t="s">
        <v>24</v>
      </c>
      <c r="CG3" s="30"/>
      <c r="CH3" s="62">
        <f>CC3</f>
        <v>2018</v>
      </c>
      <c r="CI3" s="63" t="s">
        <v>22</v>
      </c>
      <c r="CJ3" s="63" t="s">
        <v>23</v>
      </c>
      <c r="CK3" s="63" t="s">
        <v>24</v>
      </c>
      <c r="CL3" s="30"/>
      <c r="CM3" s="62">
        <f>CH3</f>
        <v>2018</v>
      </c>
      <c r="CN3" s="63" t="s">
        <v>22</v>
      </c>
      <c r="CO3" s="63" t="s">
        <v>23</v>
      </c>
      <c r="CP3" s="63" t="s">
        <v>24</v>
      </c>
      <c r="CR3" s="62">
        <f>CM3</f>
        <v>2018</v>
      </c>
      <c r="CS3" s="63" t="s">
        <v>22</v>
      </c>
      <c r="CT3" s="63" t="s">
        <v>23</v>
      </c>
      <c r="CU3" s="63" t="s">
        <v>24</v>
      </c>
      <c r="CW3" s="62">
        <f>CR3</f>
        <v>2018</v>
      </c>
      <c r="CX3" s="63" t="s">
        <v>22</v>
      </c>
      <c r="CY3" s="63" t="s">
        <v>23</v>
      </c>
      <c r="CZ3" s="63" t="s">
        <v>24</v>
      </c>
      <c r="DB3" s="62">
        <f>CW3</f>
        <v>2018</v>
      </c>
      <c r="DC3" s="63" t="s">
        <v>22</v>
      </c>
      <c r="DD3" s="63" t="s">
        <v>23</v>
      </c>
      <c r="DE3" s="63" t="s">
        <v>24</v>
      </c>
      <c r="DG3" s="62">
        <f>DB3</f>
        <v>2018</v>
      </c>
      <c r="DH3" s="63" t="s">
        <v>22</v>
      </c>
      <c r="DI3" s="63" t="s">
        <v>23</v>
      </c>
      <c r="DJ3" s="63" t="s">
        <v>24</v>
      </c>
      <c r="DL3" s="62">
        <f>DG3</f>
        <v>2018</v>
      </c>
      <c r="DM3" s="63" t="s">
        <v>22</v>
      </c>
      <c r="DN3" s="63" t="s">
        <v>23</v>
      </c>
      <c r="DO3" s="63" t="s">
        <v>24</v>
      </c>
      <c r="DQ3" s="62">
        <f>DL3</f>
        <v>2018</v>
      </c>
      <c r="DR3" s="63" t="s">
        <v>22</v>
      </c>
      <c r="DS3" s="63" t="s">
        <v>23</v>
      </c>
      <c r="DT3" s="63" t="s">
        <v>24</v>
      </c>
      <c r="DV3" s="62">
        <f>DQ3</f>
        <v>2018</v>
      </c>
      <c r="DW3" s="63" t="s">
        <v>22</v>
      </c>
      <c r="DX3" s="63" t="s">
        <v>23</v>
      </c>
      <c r="DY3" s="63" t="s">
        <v>24</v>
      </c>
      <c r="EA3" s="62">
        <f>DV3</f>
        <v>2018</v>
      </c>
      <c r="EB3" s="63" t="s">
        <v>22</v>
      </c>
      <c r="EC3" s="63" t="s">
        <v>23</v>
      </c>
      <c r="ED3" s="63" t="s">
        <v>24</v>
      </c>
      <c r="EF3" s="62">
        <f>EA3</f>
        <v>2018</v>
      </c>
      <c r="EG3" s="63" t="s">
        <v>22</v>
      </c>
      <c r="EH3" s="63" t="s">
        <v>23</v>
      </c>
      <c r="EI3" s="63" t="s">
        <v>24</v>
      </c>
      <c r="EK3" s="62">
        <f>EF3</f>
        <v>2018</v>
      </c>
      <c r="EL3" s="63" t="s">
        <v>22</v>
      </c>
      <c r="EM3" s="63" t="s">
        <v>23</v>
      </c>
      <c r="EN3" s="63" t="s">
        <v>24</v>
      </c>
      <c r="EP3" s="62">
        <f>EK3</f>
        <v>2018</v>
      </c>
      <c r="EQ3" s="63" t="s">
        <v>22</v>
      </c>
      <c r="ER3" s="63" t="s">
        <v>23</v>
      </c>
      <c r="ES3" s="63" t="s">
        <v>24</v>
      </c>
      <c r="EU3" s="62">
        <f>EP3</f>
        <v>2018</v>
      </c>
      <c r="EV3" s="63" t="s">
        <v>22</v>
      </c>
      <c r="EW3" s="63" t="s">
        <v>23</v>
      </c>
      <c r="EX3" s="63" t="s">
        <v>24</v>
      </c>
      <c r="EZ3" s="62">
        <f>EU3</f>
        <v>2018</v>
      </c>
      <c r="FA3" s="63" t="s">
        <v>22</v>
      </c>
      <c r="FB3" s="63" t="s">
        <v>23</v>
      </c>
      <c r="FC3" s="63" t="s">
        <v>24</v>
      </c>
      <c r="FE3" s="62">
        <f>EZ3</f>
        <v>2018</v>
      </c>
      <c r="FF3" s="63" t="s">
        <v>22</v>
      </c>
      <c r="FG3" s="63" t="s">
        <v>23</v>
      </c>
      <c r="FH3" s="63" t="s">
        <v>24</v>
      </c>
      <c r="FJ3" s="62">
        <f>FE3</f>
        <v>2018</v>
      </c>
      <c r="FK3" s="63" t="s">
        <v>22</v>
      </c>
      <c r="FL3" s="63" t="s">
        <v>23</v>
      </c>
      <c r="FM3" s="63" t="s">
        <v>24</v>
      </c>
      <c r="FO3" s="62">
        <v>2017</v>
      </c>
      <c r="FP3" s="63" t="s">
        <v>22</v>
      </c>
      <c r="FQ3" s="63" t="s">
        <v>23</v>
      </c>
      <c r="FR3" s="63" t="s">
        <v>24</v>
      </c>
      <c r="FT3" s="62">
        <v>2017</v>
      </c>
      <c r="FU3" s="63" t="s">
        <v>22</v>
      </c>
      <c r="FV3" s="63" t="s">
        <v>23</v>
      </c>
      <c r="FW3" s="63" t="s">
        <v>24</v>
      </c>
      <c r="FY3" s="62">
        <v>2017</v>
      </c>
      <c r="FZ3" s="63" t="s">
        <v>22</v>
      </c>
      <c r="GA3" s="63" t="s">
        <v>23</v>
      </c>
      <c r="GB3" s="63" t="s">
        <v>24</v>
      </c>
    </row>
    <row r="4" spans="1:184" ht="15">
      <c r="A4" s="43" t="s">
        <v>25</v>
      </c>
      <c r="B4" s="142">
        <v>179718</v>
      </c>
      <c r="C4" s="118">
        <v>111342</v>
      </c>
      <c r="D4" s="143">
        <v>234287</v>
      </c>
      <c r="F4" s="43" t="s">
        <v>25</v>
      </c>
      <c r="G4" s="142">
        <v>371026</v>
      </c>
      <c r="H4" s="118">
        <v>254359</v>
      </c>
      <c r="I4" s="143">
        <v>553864</v>
      </c>
      <c r="K4" s="43" t="s">
        <v>25</v>
      </c>
      <c r="L4" s="142">
        <v>331607</v>
      </c>
      <c r="M4" s="118">
        <v>177797</v>
      </c>
      <c r="N4" s="143">
        <v>345158</v>
      </c>
      <c r="P4" s="43" t="s">
        <v>25</v>
      </c>
      <c r="Q4" s="142">
        <v>16820</v>
      </c>
      <c r="R4" s="118">
        <v>12630</v>
      </c>
      <c r="S4" s="143">
        <v>32130</v>
      </c>
      <c r="U4" s="43" t="s">
        <v>25</v>
      </c>
      <c r="V4" s="142">
        <v>589</v>
      </c>
      <c r="W4" s="118">
        <v>720</v>
      </c>
      <c r="X4" s="143">
        <v>1876</v>
      </c>
      <c r="Z4" s="43" t="s">
        <v>25</v>
      </c>
      <c r="AA4" s="142">
        <v>5743</v>
      </c>
      <c r="AB4" s="118">
        <v>2371</v>
      </c>
      <c r="AC4" s="143">
        <v>4019</v>
      </c>
      <c r="AE4" s="43" t="s">
        <v>25</v>
      </c>
      <c r="AF4" s="142">
        <v>11875</v>
      </c>
      <c r="AG4" s="118">
        <v>13375</v>
      </c>
      <c r="AH4" s="143">
        <v>33460</v>
      </c>
      <c r="AJ4" s="43" t="s">
        <v>25</v>
      </c>
      <c r="AK4" s="142">
        <v>2477</v>
      </c>
      <c r="AL4" s="118">
        <v>2788</v>
      </c>
      <c r="AM4" s="143">
        <v>6125</v>
      </c>
      <c r="AO4" s="43" t="s">
        <v>25</v>
      </c>
      <c r="AP4" s="142">
        <v>4041</v>
      </c>
      <c r="AQ4" s="118">
        <v>6661</v>
      </c>
      <c r="AR4" s="143">
        <v>15274</v>
      </c>
      <c r="AT4" s="43" t="s">
        <v>25</v>
      </c>
      <c r="AU4" s="142">
        <v>3678</v>
      </c>
      <c r="AV4" s="118">
        <v>3563</v>
      </c>
      <c r="AW4" s="143">
        <v>7925</v>
      </c>
      <c r="AY4" s="43" t="s">
        <v>25</v>
      </c>
      <c r="AZ4" s="142">
        <v>3832</v>
      </c>
      <c r="BA4" s="118">
        <v>7178</v>
      </c>
      <c r="BB4" s="143">
        <v>16179</v>
      </c>
      <c r="BD4" s="43" t="s">
        <v>25</v>
      </c>
      <c r="BE4" s="142">
        <v>2047</v>
      </c>
      <c r="BF4" s="118">
        <v>1295</v>
      </c>
      <c r="BG4" s="143">
        <v>1888</v>
      </c>
      <c r="BI4" s="43" t="s">
        <v>25</v>
      </c>
      <c r="BJ4" s="142">
        <v>13758</v>
      </c>
      <c r="BK4" s="118">
        <v>7155</v>
      </c>
      <c r="BL4" s="143">
        <v>15725</v>
      </c>
      <c r="BN4" s="43" t="s">
        <v>25</v>
      </c>
      <c r="BO4" s="142">
        <v>127</v>
      </c>
      <c r="BP4" s="118">
        <v>98</v>
      </c>
      <c r="BQ4" s="143">
        <v>207</v>
      </c>
      <c r="BS4" s="43" t="s">
        <v>25</v>
      </c>
      <c r="BT4" s="142">
        <v>897</v>
      </c>
      <c r="BU4" s="118">
        <v>658</v>
      </c>
      <c r="BV4" s="143">
        <v>438</v>
      </c>
      <c r="BX4" s="43" t="s">
        <v>25</v>
      </c>
      <c r="BY4" s="142">
        <v>39095</v>
      </c>
      <c r="BZ4" s="118">
        <v>34001</v>
      </c>
      <c r="CA4" s="143">
        <v>91651</v>
      </c>
      <c r="CB4" s="30"/>
      <c r="CC4" s="43" t="s">
        <v>25</v>
      </c>
      <c r="CD4" s="142">
        <v>1342</v>
      </c>
      <c r="CE4" s="118">
        <v>2918</v>
      </c>
      <c r="CF4" s="143">
        <v>9497</v>
      </c>
      <c r="CG4" s="30"/>
      <c r="CH4" s="43" t="s">
        <v>25</v>
      </c>
      <c r="CI4" s="142">
        <v>114</v>
      </c>
      <c r="CJ4" s="118">
        <v>49</v>
      </c>
      <c r="CK4" s="143">
        <v>112</v>
      </c>
      <c r="CL4" s="30"/>
      <c r="CM4" s="43" t="s">
        <v>25</v>
      </c>
      <c r="CN4" s="142">
        <v>46</v>
      </c>
      <c r="CO4" s="118">
        <v>28</v>
      </c>
      <c r="CP4" s="143">
        <v>63</v>
      </c>
      <c r="CR4" s="43" t="s">
        <v>25</v>
      </c>
      <c r="CS4" s="142">
        <v>138</v>
      </c>
      <c r="CT4" s="118">
        <v>51</v>
      </c>
      <c r="CU4" s="143">
        <v>102</v>
      </c>
      <c r="CW4" s="43" t="s">
        <v>25</v>
      </c>
      <c r="CX4" s="142">
        <v>84</v>
      </c>
      <c r="CY4" s="118">
        <v>69</v>
      </c>
      <c r="CZ4" s="143">
        <v>68</v>
      </c>
      <c r="DB4" s="43" t="s">
        <v>25</v>
      </c>
      <c r="DC4" s="142">
        <v>1245</v>
      </c>
      <c r="DD4" s="118">
        <v>825</v>
      </c>
      <c r="DE4" s="143">
        <v>1757</v>
      </c>
      <c r="DG4" s="43" t="s">
        <v>25</v>
      </c>
      <c r="DH4" s="142">
        <v>1270</v>
      </c>
      <c r="DI4" s="118">
        <v>2214</v>
      </c>
      <c r="DJ4" s="143">
        <v>5803</v>
      </c>
      <c r="DL4" s="43" t="s">
        <v>25</v>
      </c>
      <c r="DM4" s="142">
        <v>760</v>
      </c>
      <c r="DN4" s="118">
        <v>507</v>
      </c>
      <c r="DO4" s="143">
        <v>1093</v>
      </c>
      <c r="DQ4" s="43" t="s">
        <v>25</v>
      </c>
      <c r="DR4" s="142">
        <v>12966</v>
      </c>
      <c r="DS4" s="118">
        <v>10217</v>
      </c>
      <c r="DT4" s="143">
        <v>21409</v>
      </c>
      <c r="DV4" s="43" t="s">
        <v>25</v>
      </c>
      <c r="DW4" s="142">
        <v>31219</v>
      </c>
      <c r="DX4" s="118">
        <v>20032</v>
      </c>
      <c r="DY4" s="143">
        <v>40407</v>
      </c>
      <c r="EA4" s="43" t="s">
        <v>25</v>
      </c>
      <c r="EB4" s="142">
        <v>7860</v>
      </c>
      <c r="EC4" s="118">
        <v>6250</v>
      </c>
      <c r="ED4" s="143">
        <v>15660</v>
      </c>
      <c r="EF4" s="43" t="s">
        <v>25</v>
      </c>
      <c r="EG4" s="142">
        <v>11674</v>
      </c>
      <c r="EH4" s="118">
        <v>5947</v>
      </c>
      <c r="EI4" s="143">
        <v>14879</v>
      </c>
      <c r="EK4" s="43" t="s">
        <v>25</v>
      </c>
      <c r="EL4" s="142">
        <v>4005</v>
      </c>
      <c r="EM4" s="118">
        <v>3833</v>
      </c>
      <c r="EN4" s="143">
        <v>13478</v>
      </c>
      <c r="EP4" s="43" t="s">
        <v>25</v>
      </c>
      <c r="EQ4" s="142">
        <v>9676</v>
      </c>
      <c r="ER4" s="118">
        <v>6338</v>
      </c>
      <c r="ES4" s="143">
        <v>15269</v>
      </c>
      <c r="EU4" s="43" t="s">
        <v>25</v>
      </c>
      <c r="EV4" s="142">
        <v>6567</v>
      </c>
      <c r="EW4" s="118">
        <v>5966</v>
      </c>
      <c r="EX4" s="143">
        <v>15935</v>
      </c>
      <c r="EZ4" s="43" t="s">
        <v>25</v>
      </c>
      <c r="FA4" s="142">
        <v>5979</v>
      </c>
      <c r="FB4" s="118">
        <v>3384</v>
      </c>
      <c r="FC4" s="143">
        <v>10530</v>
      </c>
      <c r="FE4" s="43" t="s">
        <v>25</v>
      </c>
      <c r="FF4" s="142">
        <v>1129</v>
      </c>
      <c r="FG4" s="118">
        <v>663</v>
      </c>
      <c r="FH4" s="143">
        <v>2576</v>
      </c>
      <c r="FJ4" s="43" t="s">
        <v>25</v>
      </c>
      <c r="FK4" s="142">
        <v>43</v>
      </c>
      <c r="FL4" s="118">
        <v>39</v>
      </c>
      <c r="FM4" s="143">
        <v>216</v>
      </c>
      <c r="FO4" s="43" t="s">
        <v>25</v>
      </c>
      <c r="FP4" s="142">
        <v>86236</v>
      </c>
      <c r="FQ4" s="118">
        <v>43696</v>
      </c>
      <c r="FR4" s="143">
        <v>111897</v>
      </c>
      <c r="FT4" s="43" t="s">
        <v>25</v>
      </c>
      <c r="FU4" s="142">
        <v>8994</v>
      </c>
      <c r="FV4" s="118">
        <v>4913</v>
      </c>
      <c r="FW4" s="143">
        <v>9084</v>
      </c>
      <c r="FY4" s="43" t="s">
        <v>25</v>
      </c>
      <c r="FZ4" s="142">
        <v>1144</v>
      </c>
      <c r="GA4" s="118">
        <v>974</v>
      </c>
      <c r="GB4" s="143">
        <v>2210</v>
      </c>
    </row>
    <row r="5" spans="1:184" ht="15">
      <c r="A5" s="43" t="s">
        <v>26</v>
      </c>
      <c r="B5" s="142">
        <v>156443</v>
      </c>
      <c r="C5" s="118">
        <v>111014</v>
      </c>
      <c r="D5" s="143">
        <v>195558</v>
      </c>
      <c r="F5" s="43" t="s">
        <v>26</v>
      </c>
      <c r="G5" s="142">
        <v>300207</v>
      </c>
      <c r="H5" s="118">
        <v>251864</v>
      </c>
      <c r="I5" s="143">
        <v>452479</v>
      </c>
      <c r="K5" s="43" t="s">
        <v>26</v>
      </c>
      <c r="L5" s="142">
        <v>302594</v>
      </c>
      <c r="M5" s="118">
        <v>181764</v>
      </c>
      <c r="N5" s="143">
        <v>293209</v>
      </c>
      <c r="P5" s="43" t="s">
        <v>26</v>
      </c>
      <c r="Q5" s="142">
        <v>14939</v>
      </c>
      <c r="R5" s="118">
        <v>12636</v>
      </c>
      <c r="S5" s="143">
        <v>27134</v>
      </c>
      <c r="U5" s="43" t="s">
        <v>26</v>
      </c>
      <c r="V5" s="142">
        <v>494</v>
      </c>
      <c r="W5" s="118">
        <v>622</v>
      </c>
      <c r="X5" s="143">
        <v>1378</v>
      </c>
      <c r="Z5" s="43" t="s">
        <v>26</v>
      </c>
      <c r="AA5" s="142">
        <v>5383</v>
      </c>
      <c r="AB5" s="118">
        <v>2495</v>
      </c>
      <c r="AC5" s="143">
        <v>3196</v>
      </c>
      <c r="AE5" s="43" t="s">
        <v>26</v>
      </c>
      <c r="AF5" s="142">
        <v>273</v>
      </c>
      <c r="AG5" s="118">
        <v>273</v>
      </c>
      <c r="AH5" s="143">
        <v>272</v>
      </c>
      <c r="AJ5" s="43" t="s">
        <v>26</v>
      </c>
      <c r="AK5" s="142">
        <v>1867</v>
      </c>
      <c r="AL5" s="118">
        <v>2658</v>
      </c>
      <c r="AM5" s="143">
        <v>5082</v>
      </c>
      <c r="AO5" s="43" t="s">
        <v>26</v>
      </c>
      <c r="AP5" s="142">
        <v>2978</v>
      </c>
      <c r="AQ5" s="118">
        <v>5940</v>
      </c>
      <c r="AR5" s="143">
        <v>12499</v>
      </c>
      <c r="AT5" s="43" t="s">
        <v>26</v>
      </c>
      <c r="AU5" s="142">
        <v>3117</v>
      </c>
      <c r="AV5" s="118">
        <v>3499</v>
      </c>
      <c r="AW5" s="143">
        <v>6635</v>
      </c>
      <c r="AY5" s="43" t="s">
        <v>26</v>
      </c>
      <c r="AZ5" s="142">
        <v>2645</v>
      </c>
      <c r="BA5" s="118">
        <v>6502</v>
      </c>
      <c r="BB5" s="143">
        <v>13659</v>
      </c>
      <c r="BD5" s="43" t="s">
        <v>26</v>
      </c>
      <c r="BE5" s="142">
        <v>1862</v>
      </c>
      <c r="BF5" s="118">
        <v>1283</v>
      </c>
      <c r="BG5" s="143">
        <v>1551</v>
      </c>
      <c r="BI5" s="43" t="s">
        <v>26</v>
      </c>
      <c r="BJ5" s="142">
        <v>12518</v>
      </c>
      <c r="BK5" s="118">
        <v>7438</v>
      </c>
      <c r="BL5" s="143">
        <v>13421</v>
      </c>
      <c r="BN5" s="43" t="s">
        <v>26</v>
      </c>
      <c r="BO5" s="142">
        <v>114</v>
      </c>
      <c r="BP5" s="118">
        <v>94</v>
      </c>
      <c r="BQ5" s="143">
        <v>181</v>
      </c>
      <c r="BS5" s="43" t="s">
        <v>26</v>
      </c>
      <c r="BT5" s="142">
        <v>810</v>
      </c>
      <c r="BU5" s="118">
        <v>594</v>
      </c>
      <c r="BV5" s="143">
        <v>396</v>
      </c>
      <c r="BX5" s="43" t="s">
        <v>26</v>
      </c>
      <c r="BY5" s="142">
        <v>36461</v>
      </c>
      <c r="BZ5" s="118">
        <v>33445</v>
      </c>
      <c r="CA5" s="143">
        <v>80813</v>
      </c>
      <c r="CB5" s="30"/>
      <c r="CC5" s="43" t="s">
        <v>26</v>
      </c>
      <c r="CD5" s="142">
        <v>1070</v>
      </c>
      <c r="CE5" s="118">
        <v>2713</v>
      </c>
      <c r="CF5" s="143">
        <v>8368</v>
      </c>
      <c r="CG5" s="30"/>
      <c r="CH5" s="43" t="s">
        <v>26</v>
      </c>
      <c r="CI5" s="142">
        <v>98</v>
      </c>
      <c r="CJ5" s="118">
        <v>76</v>
      </c>
      <c r="CK5" s="143">
        <v>153</v>
      </c>
      <c r="CL5" s="30"/>
      <c r="CM5" s="43" t="s">
        <v>26</v>
      </c>
      <c r="CN5" s="142">
        <v>39</v>
      </c>
      <c r="CO5" s="118">
        <v>28</v>
      </c>
      <c r="CP5" s="143">
        <v>49</v>
      </c>
      <c r="CR5" s="43" t="s">
        <v>26</v>
      </c>
      <c r="CS5" s="142">
        <v>153</v>
      </c>
      <c r="CT5" s="118">
        <v>50</v>
      </c>
      <c r="CU5" s="143">
        <v>83</v>
      </c>
      <c r="CW5" s="43" t="s">
        <v>26</v>
      </c>
      <c r="CX5" s="142">
        <v>78</v>
      </c>
      <c r="CY5" s="118">
        <v>72</v>
      </c>
      <c r="CZ5" s="143">
        <v>66</v>
      </c>
      <c r="DB5" s="43" t="s">
        <v>26</v>
      </c>
      <c r="DC5" s="142">
        <v>749</v>
      </c>
      <c r="DD5" s="118">
        <v>504</v>
      </c>
      <c r="DE5" s="143">
        <v>897</v>
      </c>
      <c r="DG5" s="43" t="s">
        <v>26</v>
      </c>
      <c r="DH5" s="142">
        <v>839</v>
      </c>
      <c r="DI5" s="118">
        <v>1964</v>
      </c>
      <c r="DJ5" s="143">
        <v>5000</v>
      </c>
      <c r="DL5" s="43" t="s">
        <v>26</v>
      </c>
      <c r="DM5" s="142">
        <v>704</v>
      </c>
      <c r="DN5" s="118">
        <v>529</v>
      </c>
      <c r="DO5" s="143">
        <v>943</v>
      </c>
      <c r="DQ5" s="43" t="s">
        <v>26</v>
      </c>
      <c r="DR5" s="142">
        <v>11631</v>
      </c>
      <c r="DS5" s="118">
        <v>10342</v>
      </c>
      <c r="DT5" s="143">
        <v>18572</v>
      </c>
      <c r="DV5" s="43" t="s">
        <v>26</v>
      </c>
      <c r="DW5" s="142">
        <v>27035</v>
      </c>
      <c r="DX5" s="118">
        <v>19938</v>
      </c>
      <c r="DY5" s="143">
        <v>32170</v>
      </c>
      <c r="EA5" s="43" t="s">
        <v>26</v>
      </c>
      <c r="EB5" s="142">
        <v>7102</v>
      </c>
      <c r="EC5" s="118">
        <v>6148</v>
      </c>
      <c r="ED5" s="143">
        <v>13275</v>
      </c>
      <c r="EF5" s="43" t="s">
        <v>26</v>
      </c>
      <c r="EG5" s="142">
        <v>9921</v>
      </c>
      <c r="EH5" s="118">
        <v>5366</v>
      </c>
      <c r="EI5" s="143">
        <v>12361</v>
      </c>
      <c r="EK5" s="43" t="s">
        <v>26</v>
      </c>
      <c r="EL5" s="142">
        <v>3103</v>
      </c>
      <c r="EM5" s="118">
        <v>3574</v>
      </c>
      <c r="EN5" s="143">
        <v>12015</v>
      </c>
      <c r="EP5" s="43" t="s">
        <v>26</v>
      </c>
      <c r="EQ5" s="142">
        <v>8332</v>
      </c>
      <c r="ER5" s="118">
        <v>6276</v>
      </c>
      <c r="ES5" s="143">
        <v>13045</v>
      </c>
      <c r="EU5" s="43" t="s">
        <v>26</v>
      </c>
      <c r="EV5" s="142">
        <v>5501</v>
      </c>
      <c r="EW5" s="118">
        <v>5777</v>
      </c>
      <c r="EX5" s="143">
        <v>13509</v>
      </c>
      <c r="EZ5" s="43" t="s">
        <v>26</v>
      </c>
      <c r="FA5" s="142">
        <v>4885</v>
      </c>
      <c r="FB5" s="118">
        <v>3157</v>
      </c>
      <c r="FC5" s="143">
        <v>9298</v>
      </c>
      <c r="FE5" s="43" t="s">
        <v>26</v>
      </c>
      <c r="FF5" s="142">
        <v>926</v>
      </c>
      <c r="FG5" s="118">
        <v>522</v>
      </c>
      <c r="FH5" s="143">
        <v>2204</v>
      </c>
      <c r="FJ5" s="43" t="s">
        <v>26</v>
      </c>
      <c r="FK5" s="142">
        <v>35</v>
      </c>
      <c r="FL5" s="118">
        <v>37</v>
      </c>
      <c r="FM5" s="143">
        <v>200</v>
      </c>
      <c r="FO5" s="43" t="s">
        <v>26</v>
      </c>
      <c r="FP5" s="142">
        <v>72167</v>
      </c>
      <c r="FQ5" s="118">
        <v>42956</v>
      </c>
      <c r="FR5" s="143">
        <v>98866</v>
      </c>
      <c r="FT5" s="43" t="s">
        <v>26</v>
      </c>
      <c r="FU5" s="142">
        <v>6821</v>
      </c>
      <c r="FV5" s="118">
        <v>4157</v>
      </c>
      <c r="FW5" s="143">
        <v>6335</v>
      </c>
      <c r="FY5" s="43" t="s">
        <v>26</v>
      </c>
      <c r="FZ5" s="142">
        <v>1254</v>
      </c>
      <c r="GA5" s="118">
        <v>1149</v>
      </c>
      <c r="GB5" s="143">
        <v>2197</v>
      </c>
    </row>
    <row r="6" spans="1:184" ht="15">
      <c r="A6" s="43" t="s">
        <v>27</v>
      </c>
      <c r="B6" s="142">
        <v>186476</v>
      </c>
      <c r="C6" s="118">
        <v>136475</v>
      </c>
      <c r="D6" s="143">
        <v>224072</v>
      </c>
      <c r="F6" s="43" t="s">
        <v>27</v>
      </c>
      <c r="G6" s="142">
        <v>313954</v>
      </c>
      <c r="H6" s="118">
        <v>313567</v>
      </c>
      <c r="I6" s="143">
        <v>532777</v>
      </c>
      <c r="K6" s="43" t="s">
        <v>27</v>
      </c>
      <c r="L6" s="142">
        <v>346397</v>
      </c>
      <c r="M6" s="118">
        <v>221595</v>
      </c>
      <c r="N6" s="143">
        <v>332502</v>
      </c>
      <c r="P6" s="43" t="s">
        <v>27</v>
      </c>
      <c r="Q6" s="142">
        <v>15751</v>
      </c>
      <c r="R6" s="118">
        <v>14111</v>
      </c>
      <c r="S6" s="143">
        <v>29503</v>
      </c>
      <c r="U6" s="43" t="s">
        <v>27</v>
      </c>
      <c r="V6" s="142">
        <v>404</v>
      </c>
      <c r="W6" s="118">
        <v>679</v>
      </c>
      <c r="X6" s="143">
        <v>1466</v>
      </c>
      <c r="Z6" s="43" t="s">
        <v>27</v>
      </c>
      <c r="AA6" s="142">
        <v>5989</v>
      </c>
      <c r="AB6" s="118">
        <v>2834</v>
      </c>
      <c r="AC6" s="143">
        <v>3649</v>
      </c>
      <c r="AE6" s="43" t="s">
        <v>27</v>
      </c>
      <c r="AF6" s="142">
        <v>10099</v>
      </c>
      <c r="AG6" s="118">
        <v>13297</v>
      </c>
      <c r="AH6" s="143">
        <v>30611</v>
      </c>
      <c r="AJ6" s="43" t="s">
        <v>27</v>
      </c>
      <c r="AK6" s="142">
        <v>1704</v>
      </c>
      <c r="AL6" s="118">
        <v>2906</v>
      </c>
      <c r="AM6" s="143">
        <v>5394</v>
      </c>
      <c r="AO6" s="43" t="s">
        <v>27</v>
      </c>
      <c r="AP6" s="142">
        <v>2497</v>
      </c>
      <c r="AQ6" s="118">
        <v>6200</v>
      </c>
      <c r="AR6" s="143">
        <v>13046</v>
      </c>
      <c r="AT6" s="43" t="s">
        <v>27</v>
      </c>
      <c r="AU6" s="142">
        <v>2994</v>
      </c>
      <c r="AV6" s="118">
        <v>3836</v>
      </c>
      <c r="AW6" s="143">
        <v>6940</v>
      </c>
      <c r="AY6" s="43" t="s">
        <v>27</v>
      </c>
      <c r="AZ6" s="142">
        <v>2108</v>
      </c>
      <c r="BA6" s="118">
        <v>6699</v>
      </c>
      <c r="BB6" s="143">
        <v>14543</v>
      </c>
      <c r="BD6" s="43" t="s">
        <v>27</v>
      </c>
      <c r="BE6" s="142">
        <v>1821</v>
      </c>
      <c r="BF6" s="118">
        <v>1413</v>
      </c>
      <c r="BG6" s="143">
        <v>1504</v>
      </c>
      <c r="BI6" s="43" t="s">
        <v>27</v>
      </c>
      <c r="BJ6" s="142">
        <v>12157</v>
      </c>
      <c r="BK6" s="118">
        <v>8109</v>
      </c>
      <c r="BL6" s="143">
        <v>13887</v>
      </c>
      <c r="BN6" s="43" t="s">
        <v>27</v>
      </c>
      <c r="BO6" s="142">
        <v>169</v>
      </c>
      <c r="BP6" s="118">
        <v>128</v>
      </c>
      <c r="BQ6" s="143">
        <v>210</v>
      </c>
      <c r="BS6" s="43" t="s">
        <v>27</v>
      </c>
      <c r="BT6" s="142">
        <v>897</v>
      </c>
      <c r="BU6" s="118">
        <v>658</v>
      </c>
      <c r="BV6" s="143">
        <v>438</v>
      </c>
      <c r="BX6" s="43" t="s">
        <v>27</v>
      </c>
      <c r="BY6" s="142">
        <v>37683</v>
      </c>
      <c r="BZ6" s="118">
        <v>36795</v>
      </c>
      <c r="CA6" s="143">
        <v>87408</v>
      </c>
      <c r="CB6" s="30"/>
      <c r="CC6" s="43" t="s">
        <v>27</v>
      </c>
      <c r="CD6" s="142">
        <v>951</v>
      </c>
      <c r="CE6" s="118">
        <v>2882</v>
      </c>
      <c r="CF6" s="143">
        <v>9103</v>
      </c>
      <c r="CG6" s="30"/>
      <c r="CH6" s="43" t="s">
        <v>27</v>
      </c>
      <c r="CI6" s="142"/>
      <c r="CJ6" s="118"/>
      <c r="CK6" s="143"/>
      <c r="CL6" s="30"/>
      <c r="CM6" s="43" t="s">
        <v>27</v>
      </c>
      <c r="CN6" s="142"/>
      <c r="CO6" s="118"/>
      <c r="CP6" s="143"/>
      <c r="CR6" s="43" t="s">
        <v>27</v>
      </c>
      <c r="CS6" s="142">
        <v>139</v>
      </c>
      <c r="CT6" s="118">
        <v>55</v>
      </c>
      <c r="CU6" s="143">
        <v>84</v>
      </c>
      <c r="CW6" s="43" t="s">
        <v>27</v>
      </c>
      <c r="CX6" s="142">
        <v>73</v>
      </c>
      <c r="CY6" s="118">
        <v>73</v>
      </c>
      <c r="CZ6" s="143">
        <v>80</v>
      </c>
      <c r="DB6" s="43" t="s">
        <v>27</v>
      </c>
      <c r="DC6" s="142">
        <v>250</v>
      </c>
      <c r="DD6" s="118">
        <v>186</v>
      </c>
      <c r="DE6" s="143">
        <v>309</v>
      </c>
      <c r="DG6" s="43" t="s">
        <v>27</v>
      </c>
      <c r="DH6" s="142">
        <v>607</v>
      </c>
      <c r="DI6" s="118">
        <v>1902</v>
      </c>
      <c r="DJ6" s="143">
        <v>5236</v>
      </c>
      <c r="DL6" s="43" t="s">
        <v>27</v>
      </c>
      <c r="DM6" s="142">
        <v>465</v>
      </c>
      <c r="DN6" s="118">
        <v>366</v>
      </c>
      <c r="DO6" s="143">
        <v>683</v>
      </c>
      <c r="DQ6" s="43" t="s">
        <v>27</v>
      </c>
      <c r="DR6" s="142">
        <v>13768</v>
      </c>
      <c r="DS6" s="118">
        <v>12657</v>
      </c>
      <c r="DT6" s="143">
        <v>21754</v>
      </c>
      <c r="DV6" s="43" t="s">
        <v>27</v>
      </c>
      <c r="DW6" s="142">
        <v>33624</v>
      </c>
      <c r="DX6" s="118">
        <v>25812</v>
      </c>
      <c r="DY6" s="143">
        <v>40189</v>
      </c>
      <c r="EA6" s="43" t="s">
        <v>27</v>
      </c>
      <c r="EB6" s="142">
        <v>6957</v>
      </c>
      <c r="EC6" s="118">
        <v>6369</v>
      </c>
      <c r="ED6" s="143">
        <v>13879</v>
      </c>
      <c r="EF6" s="43" t="s">
        <v>27</v>
      </c>
      <c r="EG6" s="142">
        <v>10346</v>
      </c>
      <c r="EH6" s="118">
        <v>5869</v>
      </c>
      <c r="EI6" s="143">
        <v>13496</v>
      </c>
      <c r="EK6" s="43" t="s">
        <v>27</v>
      </c>
      <c r="EL6" s="142">
        <v>2816</v>
      </c>
      <c r="EM6" s="118">
        <v>3314</v>
      </c>
      <c r="EN6" s="143">
        <v>12815</v>
      </c>
      <c r="EP6" s="43" t="s">
        <v>27</v>
      </c>
      <c r="EQ6" s="142">
        <v>8704</v>
      </c>
      <c r="ER6" s="118">
        <v>6734</v>
      </c>
      <c r="ES6" s="143">
        <v>14005</v>
      </c>
      <c r="EU6" s="43" t="s">
        <v>27</v>
      </c>
      <c r="EV6" s="142">
        <v>5578</v>
      </c>
      <c r="EW6" s="118">
        <v>6071</v>
      </c>
      <c r="EX6" s="143">
        <v>14506</v>
      </c>
      <c r="EZ6" s="43" t="s">
        <v>27</v>
      </c>
      <c r="FA6" s="142">
        <v>4936</v>
      </c>
      <c r="FB6" s="118">
        <v>3130</v>
      </c>
      <c r="FC6" s="143">
        <v>9966</v>
      </c>
      <c r="FE6" s="43" t="s">
        <v>27</v>
      </c>
      <c r="FF6" s="142">
        <v>1026</v>
      </c>
      <c r="FG6" s="118">
        <v>578</v>
      </c>
      <c r="FH6" s="143">
        <v>2441</v>
      </c>
      <c r="FJ6" s="43" t="s">
        <v>27</v>
      </c>
      <c r="FK6" s="142">
        <v>37</v>
      </c>
      <c r="FL6" s="118">
        <v>43</v>
      </c>
      <c r="FM6" s="143">
        <v>217</v>
      </c>
      <c r="FO6" s="43" t="s">
        <v>27</v>
      </c>
      <c r="FP6" s="142">
        <v>83449</v>
      </c>
      <c r="FQ6" s="118">
        <v>48305</v>
      </c>
      <c r="FR6" s="143">
        <v>102814</v>
      </c>
      <c r="FT6" s="43" t="s">
        <v>27</v>
      </c>
      <c r="FU6" s="142">
        <v>9167</v>
      </c>
      <c r="FV6" s="118">
        <v>6064</v>
      </c>
      <c r="FW6" s="143">
        <v>8102</v>
      </c>
      <c r="FY6" s="43" t="s">
        <v>27</v>
      </c>
      <c r="FZ6" s="142">
        <v>1036</v>
      </c>
      <c r="GA6" s="118">
        <v>1108</v>
      </c>
      <c r="GB6" s="143">
        <v>2055</v>
      </c>
    </row>
    <row r="7" spans="1:184" ht="15">
      <c r="A7" s="43" t="s">
        <v>28</v>
      </c>
      <c r="B7" s="142">
        <v>184914</v>
      </c>
      <c r="C7" s="118">
        <v>134513</v>
      </c>
      <c r="D7" s="143">
        <v>267955</v>
      </c>
      <c r="F7" s="43" t="s">
        <v>28</v>
      </c>
      <c r="G7" s="142">
        <v>246483</v>
      </c>
      <c r="H7" s="118">
        <v>282712</v>
      </c>
      <c r="I7" s="143">
        <v>630797</v>
      </c>
      <c r="K7" s="43" t="s">
        <v>28</v>
      </c>
      <c r="L7" s="142">
        <v>328133</v>
      </c>
      <c r="M7" s="118">
        <v>204794</v>
      </c>
      <c r="N7" s="143">
        <v>375073</v>
      </c>
      <c r="P7" s="43" t="s">
        <v>28</v>
      </c>
      <c r="Q7" s="142">
        <v>11664</v>
      </c>
      <c r="R7" s="118">
        <v>9689</v>
      </c>
      <c r="S7" s="143">
        <v>27143</v>
      </c>
      <c r="U7" s="43" t="s">
        <v>28</v>
      </c>
      <c r="V7" s="142">
        <v>212</v>
      </c>
      <c r="W7" s="118">
        <v>408</v>
      </c>
      <c r="X7" s="143">
        <v>1375</v>
      </c>
      <c r="Z7" s="43" t="s">
        <v>28</v>
      </c>
      <c r="AA7" s="142">
        <v>2879</v>
      </c>
      <c r="AB7" s="118">
        <v>1659</v>
      </c>
      <c r="AC7" s="143">
        <v>3433</v>
      </c>
      <c r="AE7" s="43" t="s">
        <v>28</v>
      </c>
      <c r="AF7" s="142">
        <v>7405</v>
      </c>
      <c r="AG7" s="118">
        <v>8924</v>
      </c>
      <c r="AH7" s="143">
        <v>28723</v>
      </c>
      <c r="AJ7" s="43" t="s">
        <v>28</v>
      </c>
      <c r="AK7" s="142">
        <v>1190</v>
      </c>
      <c r="AL7" s="118">
        <v>2064</v>
      </c>
      <c r="AM7" s="143">
        <v>5237</v>
      </c>
      <c r="AO7" s="43" t="s">
        <v>28</v>
      </c>
      <c r="AP7" s="142">
        <v>1306</v>
      </c>
      <c r="AQ7" s="118">
        <v>4081</v>
      </c>
      <c r="AR7" s="143">
        <v>12300</v>
      </c>
      <c r="AT7" s="43" t="s">
        <v>28</v>
      </c>
      <c r="AU7" s="142">
        <v>1720</v>
      </c>
      <c r="AV7" s="118">
        <v>2423</v>
      </c>
      <c r="AW7" s="143">
        <v>6137</v>
      </c>
      <c r="AY7" s="43" t="s">
        <v>28</v>
      </c>
      <c r="AZ7" s="142">
        <v>1236</v>
      </c>
      <c r="BA7" s="118">
        <v>4510</v>
      </c>
      <c r="BB7" s="143">
        <v>14115</v>
      </c>
      <c r="BD7" s="43" t="s">
        <v>28</v>
      </c>
      <c r="BE7" s="142">
        <v>1044</v>
      </c>
      <c r="BF7" s="118">
        <v>785</v>
      </c>
      <c r="BG7" s="143">
        <v>1287</v>
      </c>
      <c r="BI7" s="43" t="s">
        <v>28</v>
      </c>
      <c r="BJ7" s="142">
        <v>8358</v>
      </c>
      <c r="BK7" s="118">
        <v>5368</v>
      </c>
      <c r="BL7" s="143">
        <v>12437</v>
      </c>
      <c r="BN7" s="43" t="s">
        <v>28</v>
      </c>
      <c r="BO7" s="142">
        <v>221</v>
      </c>
      <c r="BP7" s="118">
        <v>125</v>
      </c>
      <c r="BQ7" s="143">
        <v>291</v>
      </c>
      <c r="BS7" s="43" t="s">
        <v>28</v>
      </c>
      <c r="BT7" s="142">
        <v>868</v>
      </c>
      <c r="BU7" s="118">
        <v>636</v>
      </c>
      <c r="BV7" s="143">
        <v>424</v>
      </c>
      <c r="BX7" s="43" t="s">
        <v>28</v>
      </c>
      <c r="BY7" s="142">
        <v>23730</v>
      </c>
      <c r="BZ7" s="118">
        <v>23693</v>
      </c>
      <c r="CA7" s="143">
        <v>79664</v>
      </c>
      <c r="CB7" s="30"/>
      <c r="CC7" s="43" t="s">
        <v>28</v>
      </c>
      <c r="CD7" s="142">
        <v>663</v>
      </c>
      <c r="CE7" s="118">
        <v>2147</v>
      </c>
      <c r="CF7" s="143">
        <v>8675</v>
      </c>
      <c r="CG7" s="30"/>
      <c r="CH7" s="43" t="s">
        <v>28</v>
      </c>
      <c r="CI7" s="142">
        <v>248</v>
      </c>
      <c r="CJ7" s="118">
        <v>158</v>
      </c>
      <c r="CK7" s="143">
        <v>312</v>
      </c>
      <c r="CL7" s="30"/>
      <c r="CM7" s="43" t="s">
        <v>28</v>
      </c>
      <c r="CN7" s="142">
        <v>79</v>
      </c>
      <c r="CO7" s="118">
        <v>59</v>
      </c>
      <c r="CP7" s="143">
        <v>113</v>
      </c>
      <c r="CR7" s="43" t="s">
        <v>28</v>
      </c>
      <c r="CS7" s="142">
        <v>115</v>
      </c>
      <c r="CT7" s="118">
        <v>50</v>
      </c>
      <c r="CU7" s="143">
        <v>105</v>
      </c>
      <c r="CW7" s="43" t="s">
        <v>28</v>
      </c>
      <c r="CX7" s="142">
        <v>70</v>
      </c>
      <c r="CY7" s="118">
        <v>71</v>
      </c>
      <c r="CZ7" s="143">
        <v>79</v>
      </c>
      <c r="DB7" s="43" t="s">
        <v>28</v>
      </c>
      <c r="DC7" s="142">
        <v>544</v>
      </c>
      <c r="DD7" s="118">
        <v>460</v>
      </c>
      <c r="DE7" s="143">
        <v>1131</v>
      </c>
      <c r="DG7" s="43" t="s">
        <v>28</v>
      </c>
      <c r="DH7" s="142">
        <v>392</v>
      </c>
      <c r="DI7" s="118">
        <v>1163</v>
      </c>
      <c r="DJ7" s="143">
        <v>4872</v>
      </c>
      <c r="DL7" s="43" t="s">
        <v>28</v>
      </c>
      <c r="DM7" s="142">
        <v>58</v>
      </c>
      <c r="DN7" s="118">
        <v>45</v>
      </c>
      <c r="DO7" s="143">
        <v>113</v>
      </c>
      <c r="DQ7" s="43" t="s">
        <v>28</v>
      </c>
      <c r="DR7" s="142">
        <v>14880</v>
      </c>
      <c r="DS7" s="118">
        <v>12403</v>
      </c>
      <c r="DT7" s="143">
        <v>28436</v>
      </c>
      <c r="DV7" s="43" t="s">
        <v>28</v>
      </c>
      <c r="DW7" s="142">
        <v>42099</v>
      </c>
      <c r="DX7" s="118">
        <v>31917</v>
      </c>
      <c r="DY7" s="143">
        <v>65531</v>
      </c>
      <c r="EA7" s="43" t="s">
        <v>28</v>
      </c>
      <c r="EB7" s="142">
        <v>4581</v>
      </c>
      <c r="EC7" s="118">
        <v>4101</v>
      </c>
      <c r="ED7" s="143">
        <v>12432</v>
      </c>
      <c r="EF7" s="43" t="s">
        <v>28</v>
      </c>
      <c r="EG7" s="142">
        <v>8347</v>
      </c>
      <c r="EH7" s="118">
        <v>4293</v>
      </c>
      <c r="EI7" s="143">
        <v>12541</v>
      </c>
      <c r="EK7" s="43" t="s">
        <v>28</v>
      </c>
      <c r="EL7" s="142">
        <v>1947</v>
      </c>
      <c r="EM7" s="118">
        <v>2183</v>
      </c>
      <c r="EN7" s="143">
        <v>10917</v>
      </c>
      <c r="EP7" s="43" t="s">
        <v>28</v>
      </c>
      <c r="EQ7" s="142">
        <v>6005</v>
      </c>
      <c r="ER7" s="118">
        <v>5057</v>
      </c>
      <c r="ES7" s="143">
        <v>13788</v>
      </c>
      <c r="EU7" s="43" t="s">
        <v>28</v>
      </c>
      <c r="EV7" s="142">
        <v>4581</v>
      </c>
      <c r="EW7" s="118">
        <v>4469</v>
      </c>
      <c r="EX7" s="143">
        <v>14134</v>
      </c>
      <c r="EZ7" s="43" t="s">
        <v>28</v>
      </c>
      <c r="FA7" s="142">
        <v>2930</v>
      </c>
      <c r="FB7" s="118">
        <v>2105</v>
      </c>
      <c r="FC7" s="143">
        <v>8598</v>
      </c>
      <c r="FE7" s="43" t="s">
        <v>28</v>
      </c>
      <c r="FF7" s="142">
        <v>695</v>
      </c>
      <c r="FG7" s="118">
        <v>397</v>
      </c>
      <c r="FH7" s="143">
        <v>1456</v>
      </c>
      <c r="FJ7" s="43" t="s">
        <v>28</v>
      </c>
      <c r="FK7" s="142">
        <v>33</v>
      </c>
      <c r="FL7" s="118">
        <v>38</v>
      </c>
      <c r="FM7" s="143">
        <v>187</v>
      </c>
      <c r="FO7" s="43" t="s">
        <v>28</v>
      </c>
      <c r="FP7" s="142">
        <v>84407</v>
      </c>
      <c r="FQ7" s="118">
        <v>42512</v>
      </c>
      <c r="FR7" s="143">
        <v>102807</v>
      </c>
      <c r="FT7" s="43" t="s">
        <v>28</v>
      </c>
      <c r="FU7" s="142">
        <v>4993</v>
      </c>
      <c r="FV7" s="118">
        <v>3573</v>
      </c>
      <c r="FW7" s="143">
        <v>4487</v>
      </c>
      <c r="FY7" s="43" t="s">
        <v>28</v>
      </c>
      <c r="FZ7" s="142">
        <v>504</v>
      </c>
      <c r="GA7" s="118">
        <v>524</v>
      </c>
      <c r="GB7" s="143">
        <v>142</v>
      </c>
    </row>
    <row r="8" spans="1:184" ht="15">
      <c r="A8" s="43" t="s">
        <v>29</v>
      </c>
      <c r="B8" s="142">
        <v>231716</v>
      </c>
      <c r="C8" s="118">
        <v>156484</v>
      </c>
      <c r="D8" s="143">
        <v>278109</v>
      </c>
      <c r="F8" s="43" t="s">
        <v>29</v>
      </c>
      <c r="G8" s="142">
        <v>374084</v>
      </c>
      <c r="H8" s="118">
        <v>351225</v>
      </c>
      <c r="I8" s="143">
        <v>688469</v>
      </c>
      <c r="K8" s="43" t="s">
        <v>29</v>
      </c>
      <c r="L8" s="142">
        <v>387114</v>
      </c>
      <c r="M8" s="118">
        <v>229802</v>
      </c>
      <c r="N8" s="143">
        <v>366957</v>
      </c>
      <c r="P8" s="43" t="s">
        <v>29</v>
      </c>
      <c r="Q8" s="142">
        <v>12101</v>
      </c>
      <c r="R8" s="118">
        <v>10009</v>
      </c>
      <c r="S8" s="143">
        <v>25505</v>
      </c>
      <c r="U8" s="43" t="s">
        <v>29</v>
      </c>
      <c r="V8" s="142">
        <v>203</v>
      </c>
      <c r="W8" s="118">
        <v>354</v>
      </c>
      <c r="X8" s="143">
        <v>1275</v>
      </c>
      <c r="Z8" s="43" t="s">
        <v>29</v>
      </c>
      <c r="AA8" s="142">
        <v>2297</v>
      </c>
      <c r="AB8" s="118">
        <v>1457</v>
      </c>
      <c r="AC8" s="143">
        <v>3117</v>
      </c>
      <c r="AE8" s="43" t="s">
        <v>29</v>
      </c>
      <c r="AF8" s="142">
        <v>7796</v>
      </c>
      <c r="AG8" s="118">
        <v>8566</v>
      </c>
      <c r="AH8" s="143">
        <v>25991</v>
      </c>
      <c r="AJ8" s="43" t="s">
        <v>29</v>
      </c>
      <c r="AK8" s="142">
        <v>448</v>
      </c>
      <c r="AL8" s="118">
        <v>1673</v>
      </c>
      <c r="AM8" s="143">
        <v>4770</v>
      </c>
      <c r="AO8" s="43" t="s">
        <v>29</v>
      </c>
      <c r="AP8" s="142">
        <v>581</v>
      </c>
      <c r="AQ8" s="118">
        <v>3601</v>
      </c>
      <c r="AR8" s="143">
        <v>11121</v>
      </c>
      <c r="AT8" s="43" t="s">
        <v>29</v>
      </c>
      <c r="AU8" s="142">
        <v>927</v>
      </c>
      <c r="AV8" s="118">
        <v>1968</v>
      </c>
      <c r="AW8" s="143">
        <v>5106</v>
      </c>
      <c r="AY8" s="43" t="s">
        <v>29</v>
      </c>
      <c r="AZ8" s="142">
        <v>564</v>
      </c>
      <c r="BA8" s="118">
        <v>3987</v>
      </c>
      <c r="BB8" s="143">
        <v>12958</v>
      </c>
      <c r="BD8" s="43" t="s">
        <v>29</v>
      </c>
      <c r="BE8" s="142">
        <v>662</v>
      </c>
      <c r="BF8" s="118">
        <v>505</v>
      </c>
      <c r="BG8" s="143">
        <v>706</v>
      </c>
      <c r="BI8" s="43" t="s">
        <v>29</v>
      </c>
      <c r="BJ8" s="142">
        <v>8993</v>
      </c>
      <c r="BK8" s="118">
        <v>5459</v>
      </c>
      <c r="BL8" s="143">
        <v>10786</v>
      </c>
      <c r="BN8" s="43" t="s">
        <v>29</v>
      </c>
      <c r="BO8" s="142">
        <v>1645</v>
      </c>
      <c r="BP8" s="118">
        <v>641</v>
      </c>
      <c r="BQ8" s="143">
        <v>1250</v>
      </c>
      <c r="BS8" s="43" t="s">
        <v>29</v>
      </c>
      <c r="BT8" s="142">
        <v>897</v>
      </c>
      <c r="BU8" s="118">
        <v>658</v>
      </c>
      <c r="BV8" s="143">
        <v>438</v>
      </c>
      <c r="BX8" s="43" t="s">
        <v>29</v>
      </c>
      <c r="BY8" s="142">
        <v>29116</v>
      </c>
      <c r="BZ8" s="118">
        <v>25606</v>
      </c>
      <c r="CA8" s="143">
        <v>74237</v>
      </c>
      <c r="CB8" s="30"/>
      <c r="CC8" s="43" t="s">
        <v>29</v>
      </c>
      <c r="CD8" s="142">
        <v>816</v>
      </c>
      <c r="CE8" s="118">
        <v>2159</v>
      </c>
      <c r="CF8" s="143">
        <v>8226</v>
      </c>
      <c r="CG8" s="30"/>
      <c r="CH8" s="43" t="s">
        <v>29</v>
      </c>
      <c r="CI8" s="142">
        <v>116</v>
      </c>
      <c r="CJ8" s="118">
        <v>58</v>
      </c>
      <c r="CK8" s="143">
        <v>105</v>
      </c>
      <c r="CL8" s="30"/>
      <c r="CM8" s="43" t="s">
        <v>29</v>
      </c>
      <c r="CN8" s="142"/>
      <c r="CO8" s="118"/>
      <c r="CP8" s="143"/>
      <c r="CR8" s="43" t="s">
        <v>29</v>
      </c>
      <c r="CS8" s="142">
        <v>130</v>
      </c>
      <c r="CT8" s="118">
        <v>66</v>
      </c>
      <c r="CU8" s="143">
        <v>118</v>
      </c>
      <c r="CW8" s="43" t="s">
        <v>29</v>
      </c>
      <c r="CX8" s="142">
        <v>70</v>
      </c>
      <c r="CY8" s="118">
        <v>66</v>
      </c>
      <c r="CZ8" s="143">
        <v>76</v>
      </c>
      <c r="DB8" s="43" t="s">
        <v>29</v>
      </c>
      <c r="DC8" s="142">
        <v>769</v>
      </c>
      <c r="DD8" s="118">
        <v>520</v>
      </c>
      <c r="DE8" s="143">
        <v>1065</v>
      </c>
      <c r="DG8" s="43" t="s">
        <v>29</v>
      </c>
      <c r="DH8" s="142">
        <v>260</v>
      </c>
      <c r="DI8" s="118">
        <v>996</v>
      </c>
      <c r="DJ8" s="143">
        <v>4495</v>
      </c>
      <c r="DL8" s="43" t="s">
        <v>29</v>
      </c>
      <c r="DM8" s="142">
        <v>66</v>
      </c>
      <c r="DN8" s="118">
        <v>47</v>
      </c>
      <c r="DO8" s="143">
        <v>107</v>
      </c>
      <c r="DQ8" s="43" t="s">
        <v>29</v>
      </c>
      <c r="DR8" s="142">
        <v>17972</v>
      </c>
      <c r="DS8" s="118">
        <v>13853</v>
      </c>
      <c r="DT8" s="143">
        <v>27953</v>
      </c>
      <c r="DV8" s="43" t="s">
        <v>29</v>
      </c>
      <c r="DW8" s="142">
        <v>55641</v>
      </c>
      <c r="DX8" s="118">
        <v>39268</v>
      </c>
      <c r="DY8" s="143">
        <v>70607</v>
      </c>
      <c r="EA8" s="43" t="s">
        <v>29</v>
      </c>
      <c r="EB8" s="142">
        <v>3649</v>
      </c>
      <c r="EC8" s="118">
        <v>3721</v>
      </c>
      <c r="ED8" s="143">
        <v>9664</v>
      </c>
      <c r="EF8" s="43" t="s">
        <v>29</v>
      </c>
      <c r="EG8" s="142">
        <v>8773</v>
      </c>
      <c r="EH8" s="118">
        <v>4309</v>
      </c>
      <c r="EI8" s="143">
        <v>11764</v>
      </c>
      <c r="EK8" s="43" t="s">
        <v>29</v>
      </c>
      <c r="EL8" s="142">
        <v>1982</v>
      </c>
      <c r="EM8" s="118">
        <v>1873</v>
      </c>
      <c r="EN8" s="143">
        <v>11165</v>
      </c>
      <c r="EP8" s="43" t="s">
        <v>29</v>
      </c>
      <c r="EQ8" s="142">
        <v>5003</v>
      </c>
      <c r="ER8" s="118">
        <v>4950</v>
      </c>
      <c r="ES8" s="143">
        <v>11573</v>
      </c>
      <c r="EU8" s="43" t="s">
        <v>29</v>
      </c>
      <c r="EV8" s="142">
        <v>5092</v>
      </c>
      <c r="EW8" s="118">
        <v>4484</v>
      </c>
      <c r="EX8" s="143">
        <v>13385</v>
      </c>
      <c r="EZ8" s="43" t="s">
        <v>29</v>
      </c>
      <c r="FA8" s="142">
        <v>1663</v>
      </c>
      <c r="FB8" s="118">
        <v>1846</v>
      </c>
      <c r="FC8" s="143">
        <v>7644</v>
      </c>
      <c r="FE8" s="43" t="s">
        <v>29</v>
      </c>
      <c r="FF8" s="142">
        <v>1164</v>
      </c>
      <c r="FG8" s="118">
        <v>839</v>
      </c>
      <c r="FH8" s="143">
        <v>1229</v>
      </c>
      <c r="FJ8" s="43" t="s">
        <v>29</v>
      </c>
      <c r="FK8" s="142">
        <v>34</v>
      </c>
      <c r="FL8" s="118">
        <v>47</v>
      </c>
      <c r="FM8" s="143">
        <v>218</v>
      </c>
      <c r="FO8" s="43" t="s">
        <v>29</v>
      </c>
      <c r="FP8" s="142">
        <v>108102</v>
      </c>
      <c r="FQ8" s="118">
        <v>50845</v>
      </c>
      <c r="FR8" s="143">
        <v>102171</v>
      </c>
      <c r="FT8" s="43" t="s">
        <v>29</v>
      </c>
      <c r="FU8" s="142">
        <v>15326</v>
      </c>
      <c r="FV8" s="118">
        <v>10248</v>
      </c>
      <c r="FW8" s="143">
        <v>15049</v>
      </c>
      <c r="FY8" s="43" t="s">
        <v>29</v>
      </c>
      <c r="FZ8" s="142">
        <v>538</v>
      </c>
      <c r="GA8" s="118">
        <v>48</v>
      </c>
      <c r="GB8" s="143">
        <v>1197</v>
      </c>
    </row>
    <row r="9" spans="1:184" ht="15">
      <c r="A9" s="43" t="s">
        <v>30</v>
      </c>
      <c r="B9" s="142">
        <v>254614</v>
      </c>
      <c r="C9" s="118">
        <v>170228</v>
      </c>
      <c r="D9" s="143">
        <v>294507</v>
      </c>
      <c r="F9" s="43" t="s">
        <v>30</v>
      </c>
      <c r="G9" s="142">
        <v>412519</v>
      </c>
      <c r="H9" s="118">
        <v>400502</v>
      </c>
      <c r="I9" s="143">
        <v>738765</v>
      </c>
      <c r="K9" s="43" t="s">
        <v>30</v>
      </c>
      <c r="L9" s="142">
        <v>449762</v>
      </c>
      <c r="M9" s="118">
        <v>247445</v>
      </c>
      <c r="N9" s="143">
        <v>391348</v>
      </c>
      <c r="P9" s="43" t="s">
        <v>30</v>
      </c>
      <c r="Q9" s="142">
        <v>13701</v>
      </c>
      <c r="R9" s="118">
        <v>11140</v>
      </c>
      <c r="S9" s="143">
        <v>27444</v>
      </c>
      <c r="U9" s="43" t="s">
        <v>30</v>
      </c>
      <c r="V9" s="142">
        <v>179</v>
      </c>
      <c r="W9" s="118">
        <v>302</v>
      </c>
      <c r="X9" s="143">
        <v>1162</v>
      </c>
      <c r="Z9" s="43" t="s">
        <v>30</v>
      </c>
      <c r="AA9" s="142">
        <v>2018</v>
      </c>
      <c r="AB9" s="118">
        <v>1332</v>
      </c>
      <c r="AC9" s="143">
        <v>2938</v>
      </c>
      <c r="AE9" s="43" t="s">
        <v>30</v>
      </c>
      <c r="AF9" s="142">
        <v>9051</v>
      </c>
      <c r="AG9" s="118">
        <v>10871</v>
      </c>
      <c r="AH9" s="143">
        <v>27204</v>
      </c>
      <c r="AJ9" s="43" t="s">
        <v>30</v>
      </c>
      <c r="AK9" s="142">
        <v>323</v>
      </c>
      <c r="AL9" s="118">
        <v>1226</v>
      </c>
      <c r="AM9" s="143">
        <v>4190</v>
      </c>
      <c r="AO9" s="43" t="s">
        <v>30</v>
      </c>
      <c r="AP9" s="142">
        <v>513</v>
      </c>
      <c r="AQ9" s="118">
        <v>2618</v>
      </c>
      <c r="AR9" s="143">
        <v>9881</v>
      </c>
      <c r="AT9" s="43" t="s">
        <v>30</v>
      </c>
      <c r="AU9" s="142">
        <v>953</v>
      </c>
      <c r="AV9" s="118">
        <v>1636</v>
      </c>
      <c r="AW9" s="143">
        <v>4786</v>
      </c>
      <c r="AY9" s="43" t="s">
        <v>30</v>
      </c>
      <c r="AZ9" s="142">
        <v>391</v>
      </c>
      <c r="BA9" s="118">
        <v>2852</v>
      </c>
      <c r="BB9" s="143">
        <v>11430</v>
      </c>
      <c r="BD9" s="43" t="s">
        <v>30</v>
      </c>
      <c r="BE9" s="142">
        <v>580</v>
      </c>
      <c r="BF9" s="118">
        <v>468</v>
      </c>
      <c r="BG9" s="143">
        <v>709</v>
      </c>
      <c r="BI9" s="43" t="s">
        <v>30</v>
      </c>
      <c r="BJ9" s="142">
        <v>10418</v>
      </c>
      <c r="BK9" s="118">
        <v>5732</v>
      </c>
      <c r="BL9" s="143">
        <v>11406</v>
      </c>
      <c r="BN9" s="43" t="s">
        <v>30</v>
      </c>
      <c r="BO9" s="142">
        <v>1758</v>
      </c>
      <c r="BP9" s="118">
        <v>685</v>
      </c>
      <c r="BQ9" s="143">
        <v>1337</v>
      </c>
      <c r="BS9" s="43" t="s">
        <v>30</v>
      </c>
      <c r="BT9" s="142">
        <v>726</v>
      </c>
      <c r="BU9" s="118">
        <v>533</v>
      </c>
      <c r="BV9" s="143">
        <v>355</v>
      </c>
      <c r="BX9" s="43" t="s">
        <v>30</v>
      </c>
      <c r="BY9" s="142">
        <v>36575</v>
      </c>
      <c r="BZ9" s="118">
        <v>29725</v>
      </c>
      <c r="CA9" s="143">
        <v>79497</v>
      </c>
      <c r="CB9" s="30"/>
      <c r="CC9" s="43" t="s">
        <v>30</v>
      </c>
      <c r="CD9" s="142">
        <v>797</v>
      </c>
      <c r="CE9" s="118">
        <v>1826</v>
      </c>
      <c r="CF9" s="143">
        <v>7279</v>
      </c>
      <c r="CG9" s="30"/>
      <c r="CH9" s="43" t="s">
        <v>30</v>
      </c>
      <c r="CI9" s="142">
        <v>95</v>
      </c>
      <c r="CJ9" s="118">
        <v>53</v>
      </c>
      <c r="CK9" s="143">
        <v>95</v>
      </c>
      <c r="CL9" s="30"/>
      <c r="CM9" s="43" t="s">
        <v>30</v>
      </c>
      <c r="CN9" s="142"/>
      <c r="CO9" s="118"/>
      <c r="CP9" s="143"/>
      <c r="CR9" s="43" t="s">
        <v>30</v>
      </c>
      <c r="CS9" s="142">
        <v>160</v>
      </c>
      <c r="CT9" s="118">
        <v>69</v>
      </c>
      <c r="CU9" s="143">
        <v>120</v>
      </c>
      <c r="CW9" s="43" t="s">
        <v>30</v>
      </c>
      <c r="CX9" s="142">
        <v>74</v>
      </c>
      <c r="CY9" s="118">
        <v>76</v>
      </c>
      <c r="CZ9" s="143">
        <v>71</v>
      </c>
      <c r="DB9" s="43" t="s">
        <v>30</v>
      </c>
      <c r="DC9" s="142">
        <v>474</v>
      </c>
      <c r="DD9" s="118">
        <v>313</v>
      </c>
      <c r="DE9" s="143">
        <v>719</v>
      </c>
      <c r="DG9" s="43" t="s">
        <v>30</v>
      </c>
      <c r="DH9" s="142">
        <v>245</v>
      </c>
      <c r="DI9" s="118">
        <v>798</v>
      </c>
      <c r="DJ9" s="143">
        <v>4077</v>
      </c>
      <c r="DL9" s="43" t="s">
        <v>30</v>
      </c>
      <c r="DM9" s="142">
        <v>72</v>
      </c>
      <c r="DN9" s="118">
        <v>54</v>
      </c>
      <c r="DO9" s="143">
        <v>112</v>
      </c>
      <c r="DQ9" s="43" t="s">
        <v>30</v>
      </c>
      <c r="DR9" s="142">
        <v>21168</v>
      </c>
      <c r="DS9" s="118">
        <v>16586</v>
      </c>
      <c r="DT9" s="143">
        <v>31753</v>
      </c>
      <c r="DV9" s="43" t="s">
        <v>30</v>
      </c>
      <c r="DW9" s="142">
        <v>63782</v>
      </c>
      <c r="DX9" s="118">
        <v>43311</v>
      </c>
      <c r="DY9" s="143">
        <v>78139</v>
      </c>
      <c r="EA9" s="43" t="s">
        <v>30</v>
      </c>
      <c r="EB9" s="142">
        <v>4601</v>
      </c>
      <c r="EC9" s="118">
        <v>3416</v>
      </c>
      <c r="ED9" s="143">
        <v>9131</v>
      </c>
      <c r="EF9" s="43" t="s">
        <v>30</v>
      </c>
      <c r="EG9" s="142">
        <v>11496</v>
      </c>
      <c r="EH9" s="118">
        <v>4270</v>
      </c>
      <c r="EI9" s="143">
        <v>11324</v>
      </c>
      <c r="EK9" s="43" t="s">
        <v>30</v>
      </c>
      <c r="EL9" s="142">
        <v>1746</v>
      </c>
      <c r="EM9" s="118">
        <v>1455</v>
      </c>
      <c r="EN9" s="143">
        <v>9996</v>
      </c>
      <c r="EP9" s="43" t="s">
        <v>30</v>
      </c>
      <c r="EQ9" s="142">
        <v>4670</v>
      </c>
      <c r="ER9" s="118">
        <v>4428</v>
      </c>
      <c r="ES9" s="143">
        <v>10760</v>
      </c>
      <c r="EU9" s="43" t="s">
        <v>30</v>
      </c>
      <c r="EV9" s="142">
        <v>4737</v>
      </c>
      <c r="EW9" s="118">
        <v>4051</v>
      </c>
      <c r="EX9" s="143">
        <v>12519</v>
      </c>
      <c r="EZ9" s="43" t="s">
        <v>30</v>
      </c>
      <c r="FA9" s="142">
        <v>1578</v>
      </c>
      <c r="FB9" s="118">
        <v>1550</v>
      </c>
      <c r="FC9" s="143">
        <v>7086</v>
      </c>
      <c r="FE9" s="43" t="s">
        <v>30</v>
      </c>
      <c r="FF9" s="142">
        <v>1134</v>
      </c>
      <c r="FG9" s="118">
        <v>818</v>
      </c>
      <c r="FH9" s="143">
        <v>1198</v>
      </c>
      <c r="FJ9" s="43" t="s">
        <v>30</v>
      </c>
      <c r="FK9" s="142">
        <v>33</v>
      </c>
      <c r="FL9" s="118">
        <v>35</v>
      </c>
      <c r="FM9" s="143">
        <v>172</v>
      </c>
      <c r="FO9" s="43" t="s">
        <v>30</v>
      </c>
      <c r="FP9" s="142">
        <v>124564</v>
      </c>
      <c r="FQ9" s="118">
        <v>59352</v>
      </c>
      <c r="FR9" s="143">
        <v>107172</v>
      </c>
      <c r="FT9" s="43" t="s">
        <v>30</v>
      </c>
      <c r="FU9" s="142">
        <v>17700</v>
      </c>
      <c r="FV9" s="118">
        <v>11404</v>
      </c>
      <c r="FW9" s="143">
        <v>16892</v>
      </c>
      <c r="FY9" s="43" t="s">
        <v>30</v>
      </c>
      <c r="FZ9" s="142">
        <v>629</v>
      </c>
      <c r="GA9" s="118">
        <v>527</v>
      </c>
      <c r="GB9" s="143">
        <v>1229</v>
      </c>
    </row>
    <row r="10" spans="1:184" ht="15">
      <c r="A10" s="43" t="s">
        <v>31</v>
      </c>
      <c r="B10" s="117">
        <v>300588</v>
      </c>
      <c r="C10" s="118">
        <v>198975</v>
      </c>
      <c r="D10" s="119">
        <v>340079</v>
      </c>
      <c r="F10" s="43" t="s">
        <v>31</v>
      </c>
      <c r="G10" s="117">
        <v>492552</v>
      </c>
      <c r="H10" s="118">
        <v>489306</v>
      </c>
      <c r="I10" s="119">
        <v>864076</v>
      </c>
      <c r="K10" s="43" t="s">
        <v>31</v>
      </c>
      <c r="L10" s="117">
        <v>514634</v>
      </c>
      <c r="M10" s="118">
        <v>271901</v>
      </c>
      <c r="N10" s="119">
        <v>428693</v>
      </c>
      <c r="P10" s="43" t="s">
        <v>31</v>
      </c>
      <c r="Q10" s="117">
        <v>13721</v>
      </c>
      <c r="R10" s="118">
        <v>10744</v>
      </c>
      <c r="S10" s="119">
        <v>27119</v>
      </c>
      <c r="U10" s="43" t="s">
        <v>31</v>
      </c>
      <c r="V10" s="117">
        <v>204</v>
      </c>
      <c r="W10" s="118">
        <v>305</v>
      </c>
      <c r="X10" s="119">
        <v>1219</v>
      </c>
      <c r="Z10" s="43" t="s">
        <v>31</v>
      </c>
      <c r="AA10" s="117">
        <v>2089</v>
      </c>
      <c r="AB10" s="118">
        <v>1355</v>
      </c>
      <c r="AC10" s="119">
        <v>3032</v>
      </c>
      <c r="AE10" s="43" t="s">
        <v>31</v>
      </c>
      <c r="AF10" s="117">
        <v>9797</v>
      </c>
      <c r="AG10" s="118">
        <v>11767</v>
      </c>
      <c r="AH10" s="119">
        <v>29444</v>
      </c>
      <c r="AJ10" s="43" t="s">
        <v>31</v>
      </c>
      <c r="AK10" s="117">
        <v>358</v>
      </c>
      <c r="AL10" s="118">
        <v>1327</v>
      </c>
      <c r="AM10" s="119">
        <v>4409</v>
      </c>
      <c r="AO10" s="43" t="s">
        <v>31</v>
      </c>
      <c r="AP10" s="117">
        <v>553</v>
      </c>
      <c r="AQ10" s="118">
        <v>2919</v>
      </c>
      <c r="AR10" s="119">
        <v>10548</v>
      </c>
      <c r="AT10" s="43" t="s">
        <v>31</v>
      </c>
      <c r="AU10" s="117">
        <v>1059</v>
      </c>
      <c r="AV10" s="118">
        <v>1789</v>
      </c>
      <c r="AW10" s="119">
        <v>5083</v>
      </c>
      <c r="AY10" s="43" t="s">
        <v>31</v>
      </c>
      <c r="AZ10" s="117">
        <v>469</v>
      </c>
      <c r="BA10" s="118">
        <v>3149</v>
      </c>
      <c r="BB10" s="119">
        <v>12006</v>
      </c>
      <c r="BD10" s="43" t="s">
        <v>31</v>
      </c>
      <c r="BE10" s="117">
        <v>659</v>
      </c>
      <c r="BF10" s="118">
        <v>502</v>
      </c>
      <c r="BG10" s="119">
        <v>742</v>
      </c>
      <c r="BI10" s="43" t="s">
        <v>31</v>
      </c>
      <c r="BJ10" s="117">
        <v>13262</v>
      </c>
      <c r="BK10" s="118">
        <v>6567</v>
      </c>
      <c r="BL10" s="119">
        <v>12982</v>
      </c>
      <c r="BN10" s="43" t="s">
        <v>31</v>
      </c>
      <c r="BO10" s="117">
        <v>1903</v>
      </c>
      <c r="BP10" s="118">
        <v>741</v>
      </c>
      <c r="BQ10" s="119">
        <v>1447</v>
      </c>
      <c r="BS10" s="43" t="s">
        <v>31</v>
      </c>
      <c r="BT10" s="117">
        <v>750</v>
      </c>
      <c r="BU10" s="118">
        <v>550</v>
      </c>
      <c r="BV10" s="119">
        <v>367</v>
      </c>
      <c r="BX10" s="43" t="s">
        <v>31</v>
      </c>
      <c r="BY10" s="117">
        <v>47368</v>
      </c>
      <c r="BZ10" s="118">
        <v>36620</v>
      </c>
      <c r="CA10" s="119">
        <v>95557</v>
      </c>
      <c r="CB10" s="30"/>
      <c r="CC10" s="43" t="s">
        <v>31</v>
      </c>
      <c r="CD10" s="117">
        <v>712</v>
      </c>
      <c r="CE10" s="118">
        <v>1798</v>
      </c>
      <c r="CF10" s="119">
        <v>7262</v>
      </c>
      <c r="CG10" s="30"/>
      <c r="CH10" s="43" t="s">
        <v>31</v>
      </c>
      <c r="CI10" s="117">
        <v>106</v>
      </c>
      <c r="CJ10" s="118">
        <v>56</v>
      </c>
      <c r="CK10" s="119">
        <v>99</v>
      </c>
      <c r="CL10" s="30"/>
      <c r="CM10" s="43" t="s">
        <v>31</v>
      </c>
      <c r="CN10" s="117"/>
      <c r="CO10" s="118"/>
      <c r="CP10" s="119"/>
      <c r="CR10" s="43" t="s">
        <v>31</v>
      </c>
      <c r="CS10" s="117">
        <v>143</v>
      </c>
      <c r="CT10" s="118">
        <v>65</v>
      </c>
      <c r="CU10" s="119">
        <v>120</v>
      </c>
      <c r="CW10" s="43" t="s">
        <v>31</v>
      </c>
      <c r="CX10" s="117">
        <v>71</v>
      </c>
      <c r="CY10" s="118">
        <v>70</v>
      </c>
      <c r="CZ10" s="119">
        <v>65</v>
      </c>
      <c r="DB10" s="43" t="s">
        <v>31</v>
      </c>
      <c r="DC10" s="117">
        <v>857</v>
      </c>
      <c r="DD10" s="118">
        <v>636</v>
      </c>
      <c r="DE10" s="119">
        <v>1179</v>
      </c>
      <c r="DG10" s="43" t="s">
        <v>31</v>
      </c>
      <c r="DH10" s="117">
        <v>250</v>
      </c>
      <c r="DI10" s="118">
        <v>811</v>
      </c>
      <c r="DJ10" s="119">
        <v>4400</v>
      </c>
      <c r="DL10" s="43" t="s">
        <v>31</v>
      </c>
      <c r="DM10" s="117">
        <v>101</v>
      </c>
      <c r="DN10" s="118">
        <v>56</v>
      </c>
      <c r="DO10" s="119">
        <v>119</v>
      </c>
      <c r="DQ10" s="43" t="s">
        <v>31</v>
      </c>
      <c r="DR10" s="117">
        <v>24798</v>
      </c>
      <c r="DS10" s="118">
        <v>18030</v>
      </c>
      <c r="DT10" s="119">
        <v>36376</v>
      </c>
      <c r="DV10" s="43" t="s">
        <v>31</v>
      </c>
      <c r="DW10" s="117">
        <v>65263</v>
      </c>
      <c r="DX10" s="118">
        <v>44256</v>
      </c>
      <c r="DY10" s="119">
        <v>77094</v>
      </c>
      <c r="EA10" s="43" t="s">
        <v>31</v>
      </c>
      <c r="EB10" s="117">
        <v>6753</v>
      </c>
      <c r="EC10" s="118">
        <v>3930</v>
      </c>
      <c r="ED10" s="119">
        <v>10122</v>
      </c>
      <c r="EF10" s="43" t="s">
        <v>31</v>
      </c>
      <c r="EG10" s="117">
        <v>18676</v>
      </c>
      <c r="EH10" s="118">
        <v>5145</v>
      </c>
      <c r="EI10" s="119">
        <v>12874</v>
      </c>
      <c r="EK10" s="43" t="s">
        <v>31</v>
      </c>
      <c r="EL10" s="117">
        <v>1746</v>
      </c>
      <c r="EM10" s="118">
        <v>1528</v>
      </c>
      <c r="EN10" s="119">
        <v>10436</v>
      </c>
      <c r="EP10" s="43" t="s">
        <v>31</v>
      </c>
      <c r="EQ10" s="117">
        <v>4752</v>
      </c>
      <c r="ER10" s="118">
        <v>4533</v>
      </c>
      <c r="ES10" s="119">
        <v>11023</v>
      </c>
      <c r="EU10" s="43" t="s">
        <v>31</v>
      </c>
      <c r="EV10" s="117">
        <v>4776</v>
      </c>
      <c r="EW10" s="118">
        <v>4083</v>
      </c>
      <c r="EX10" s="119">
        <v>12925</v>
      </c>
      <c r="EZ10" s="43" t="s">
        <v>31</v>
      </c>
      <c r="FA10" s="117">
        <v>1655</v>
      </c>
      <c r="FB10" s="118">
        <v>1680</v>
      </c>
      <c r="FC10" s="119">
        <v>7444</v>
      </c>
      <c r="FE10" s="43" t="s">
        <v>31</v>
      </c>
      <c r="FF10" s="117">
        <v>1221</v>
      </c>
      <c r="FG10" s="118">
        <v>880</v>
      </c>
      <c r="FH10" s="119">
        <v>1289</v>
      </c>
      <c r="FJ10" s="43" t="s">
        <v>31</v>
      </c>
      <c r="FK10" s="117">
        <v>18</v>
      </c>
      <c r="FL10" s="118">
        <v>32</v>
      </c>
      <c r="FM10" s="119">
        <v>178</v>
      </c>
      <c r="FO10" s="43" t="s">
        <v>31</v>
      </c>
      <c r="FP10" s="117">
        <v>149952</v>
      </c>
      <c r="FQ10" s="118">
        <v>69845</v>
      </c>
      <c r="FR10" s="119">
        <v>124709</v>
      </c>
      <c r="FT10" s="43" t="s">
        <v>31</v>
      </c>
      <c r="FU10" s="117">
        <v>20882</v>
      </c>
      <c r="FV10" s="118">
        <v>1316</v>
      </c>
      <c r="FW10" s="119">
        <v>20685</v>
      </c>
      <c r="FY10" s="43" t="s">
        <v>31</v>
      </c>
      <c r="FZ10" s="117">
        <v>1116</v>
      </c>
      <c r="GA10" s="118">
        <v>786</v>
      </c>
      <c r="GB10" s="119">
        <v>1769</v>
      </c>
    </row>
    <row r="11" spans="1:184" ht="15">
      <c r="A11" s="43" t="s">
        <v>32</v>
      </c>
      <c r="B11" s="117">
        <v>289165</v>
      </c>
      <c r="C11" s="118">
        <v>185193</v>
      </c>
      <c r="D11" s="119">
        <v>311857</v>
      </c>
      <c r="F11" s="43" t="s">
        <v>32</v>
      </c>
      <c r="G11" s="117">
        <v>441256</v>
      </c>
      <c r="H11" s="118">
        <v>405092</v>
      </c>
      <c r="I11" s="119">
        <v>753122</v>
      </c>
      <c r="K11" s="43" t="s">
        <v>32</v>
      </c>
      <c r="L11" s="117">
        <v>509823</v>
      </c>
      <c r="M11" s="118">
        <v>274001</v>
      </c>
      <c r="N11" s="119">
        <v>446988</v>
      </c>
      <c r="P11" s="43" t="s">
        <v>32</v>
      </c>
      <c r="Q11" s="117">
        <v>12007</v>
      </c>
      <c r="R11" s="118">
        <v>10122</v>
      </c>
      <c r="S11" s="119">
        <v>25968</v>
      </c>
      <c r="U11" s="43" t="s">
        <v>32</v>
      </c>
      <c r="V11" s="117">
        <v>131</v>
      </c>
      <c r="W11" s="118">
        <v>340</v>
      </c>
      <c r="X11" s="119">
        <v>1288</v>
      </c>
      <c r="Z11" s="43" t="s">
        <v>32</v>
      </c>
      <c r="AA11" s="117">
        <v>1889</v>
      </c>
      <c r="AB11" s="118">
        <v>1315</v>
      </c>
      <c r="AC11" s="119">
        <v>2880</v>
      </c>
      <c r="AE11" s="43" t="s">
        <v>32</v>
      </c>
      <c r="AF11" s="117">
        <v>8125</v>
      </c>
      <c r="AG11" s="118">
        <v>9759</v>
      </c>
      <c r="AH11" s="119">
        <v>24420</v>
      </c>
      <c r="AJ11" s="43" t="s">
        <v>32</v>
      </c>
      <c r="AK11" s="117">
        <v>300</v>
      </c>
      <c r="AL11" s="118">
        <v>1576</v>
      </c>
      <c r="AM11" s="119">
        <v>4675</v>
      </c>
      <c r="AO11" s="43" t="s">
        <v>32</v>
      </c>
      <c r="AP11" s="117">
        <v>311</v>
      </c>
      <c r="AQ11" s="118">
        <v>3637</v>
      </c>
      <c r="AR11" s="119">
        <v>11437</v>
      </c>
      <c r="AT11" s="43" t="s">
        <v>32</v>
      </c>
      <c r="AU11" s="117">
        <v>998</v>
      </c>
      <c r="AV11" s="118">
        <v>2041</v>
      </c>
      <c r="AW11" s="119">
        <v>5461</v>
      </c>
      <c r="AY11" s="43" t="s">
        <v>32</v>
      </c>
      <c r="AZ11" s="117">
        <v>297</v>
      </c>
      <c r="BA11" s="118">
        <v>3938</v>
      </c>
      <c r="BB11" s="119">
        <v>12884</v>
      </c>
      <c r="BD11" s="43" t="s">
        <v>32</v>
      </c>
      <c r="BE11" s="117">
        <v>575</v>
      </c>
      <c r="BF11" s="118">
        <v>406</v>
      </c>
      <c r="BG11" s="119">
        <v>663</v>
      </c>
      <c r="BI11" s="43" t="s">
        <v>32</v>
      </c>
      <c r="BJ11" s="117">
        <v>10844</v>
      </c>
      <c r="BK11" s="118">
        <v>6490</v>
      </c>
      <c r="BL11" s="119">
        <v>13047</v>
      </c>
      <c r="BN11" s="43" t="s">
        <v>32</v>
      </c>
      <c r="BO11" s="117">
        <v>3989</v>
      </c>
      <c r="BP11" s="118">
        <v>1321</v>
      </c>
      <c r="BQ11" s="119">
        <v>2640</v>
      </c>
      <c r="BS11" s="43" t="s">
        <v>32</v>
      </c>
      <c r="BT11" s="117">
        <v>816</v>
      </c>
      <c r="BU11" s="118">
        <v>599</v>
      </c>
      <c r="BV11" s="119">
        <v>399</v>
      </c>
      <c r="BX11" s="43" t="s">
        <v>32</v>
      </c>
      <c r="BY11" s="117">
        <v>47560</v>
      </c>
      <c r="BZ11" s="118">
        <v>34548</v>
      </c>
      <c r="CA11" s="119">
        <v>92069</v>
      </c>
      <c r="CB11" s="30"/>
      <c r="CC11" s="43" t="s">
        <v>32</v>
      </c>
      <c r="CD11" s="117">
        <v>589</v>
      </c>
      <c r="CE11" s="118">
        <v>1897</v>
      </c>
      <c r="CF11" s="119">
        <v>7383</v>
      </c>
      <c r="CG11" s="30"/>
      <c r="CH11" s="43" t="s">
        <v>32</v>
      </c>
      <c r="CI11" s="117">
        <v>86</v>
      </c>
      <c r="CJ11" s="118">
        <v>52</v>
      </c>
      <c r="CK11" s="119">
        <v>95</v>
      </c>
      <c r="CL11" s="30"/>
      <c r="CM11" s="43" t="s">
        <v>32</v>
      </c>
      <c r="CN11" s="117"/>
      <c r="CO11" s="118"/>
      <c r="CP11" s="119"/>
      <c r="CR11" s="43" t="s">
        <v>32</v>
      </c>
      <c r="CS11" s="117">
        <v>105</v>
      </c>
      <c r="CT11" s="118">
        <v>58</v>
      </c>
      <c r="CU11" s="119">
        <v>110</v>
      </c>
      <c r="CW11" s="43" t="s">
        <v>32</v>
      </c>
      <c r="CX11" s="117">
        <v>84</v>
      </c>
      <c r="CY11" s="118">
        <v>80</v>
      </c>
      <c r="CZ11" s="119">
        <v>65</v>
      </c>
      <c r="DB11" s="43" t="s">
        <v>32</v>
      </c>
      <c r="DC11" s="117">
        <v>1116</v>
      </c>
      <c r="DD11" s="118">
        <v>776</v>
      </c>
      <c r="DE11" s="119">
        <v>1539</v>
      </c>
      <c r="DG11" s="43" t="s">
        <v>32</v>
      </c>
      <c r="DH11" s="117">
        <v>226</v>
      </c>
      <c r="DI11" s="118">
        <v>1043</v>
      </c>
      <c r="DJ11" s="119">
        <v>4603</v>
      </c>
      <c r="DL11" s="43" t="s">
        <v>32</v>
      </c>
      <c r="DM11" s="117">
        <v>87</v>
      </c>
      <c r="DN11" s="118">
        <v>54</v>
      </c>
      <c r="DO11" s="119">
        <v>113</v>
      </c>
      <c r="DQ11" s="43" t="s">
        <v>32</v>
      </c>
      <c r="DR11" s="117">
        <v>24021</v>
      </c>
      <c r="DS11" s="118">
        <v>16820</v>
      </c>
      <c r="DT11" s="119">
        <v>30423</v>
      </c>
      <c r="DV11" s="43" t="s">
        <v>32</v>
      </c>
      <c r="DW11" s="117">
        <v>58748</v>
      </c>
      <c r="DX11" s="118">
        <v>41610</v>
      </c>
      <c r="DY11" s="119">
        <v>70859</v>
      </c>
      <c r="EA11" s="43" t="s">
        <v>32</v>
      </c>
      <c r="EB11" s="117">
        <v>6804</v>
      </c>
      <c r="EC11" s="118">
        <v>4288</v>
      </c>
      <c r="ED11" s="119">
        <v>10506</v>
      </c>
      <c r="EF11" s="43" t="s">
        <v>32</v>
      </c>
      <c r="EG11" s="117">
        <v>19407</v>
      </c>
      <c r="EH11" s="118">
        <v>5481</v>
      </c>
      <c r="EI11" s="119">
        <v>13352</v>
      </c>
      <c r="EK11" s="43" t="s">
        <v>32</v>
      </c>
      <c r="EL11" s="117">
        <v>1775</v>
      </c>
      <c r="EM11" s="118">
        <v>1862</v>
      </c>
      <c r="EN11" s="119">
        <v>10839</v>
      </c>
      <c r="EP11" s="43" t="s">
        <v>32</v>
      </c>
      <c r="EQ11" s="117">
        <v>4792</v>
      </c>
      <c r="ER11" s="118">
        <v>4839</v>
      </c>
      <c r="ES11" s="119">
        <v>11345</v>
      </c>
      <c r="EU11" s="43" t="s">
        <v>32</v>
      </c>
      <c r="EV11" s="117">
        <v>4790</v>
      </c>
      <c r="EW11" s="118">
        <v>4454</v>
      </c>
      <c r="EX11" s="119">
        <v>13283</v>
      </c>
      <c r="EZ11" s="43" t="s">
        <v>32</v>
      </c>
      <c r="FA11" s="117">
        <v>1670</v>
      </c>
      <c r="FB11" s="118">
        <v>1977</v>
      </c>
      <c r="FC11" s="119">
        <v>7767</v>
      </c>
      <c r="FE11" s="43" t="s">
        <v>32</v>
      </c>
      <c r="FF11" s="117">
        <v>1223</v>
      </c>
      <c r="FG11" s="118">
        <v>882</v>
      </c>
      <c r="FH11" s="119">
        <v>1291</v>
      </c>
      <c r="FJ11" s="43" t="s">
        <v>32</v>
      </c>
      <c r="FK11" s="117">
        <v>12</v>
      </c>
      <c r="FL11" s="118">
        <v>34</v>
      </c>
      <c r="FM11" s="119">
        <v>163</v>
      </c>
      <c r="FO11" s="43" t="s">
        <v>32</v>
      </c>
      <c r="FP11" s="117">
        <v>126907</v>
      </c>
      <c r="FQ11" s="118">
        <v>60213</v>
      </c>
      <c r="FR11" s="119">
        <v>112705</v>
      </c>
      <c r="FT11" s="43" t="s">
        <v>32</v>
      </c>
      <c r="FU11" s="117">
        <v>16080</v>
      </c>
      <c r="FV11" s="118">
        <v>10738</v>
      </c>
      <c r="FW11" s="119">
        <v>17250</v>
      </c>
      <c r="FY11" s="43" t="s">
        <v>32</v>
      </c>
      <c r="FZ11" s="117">
        <v>1128</v>
      </c>
      <c r="GA11" s="118">
        <v>941</v>
      </c>
      <c r="GB11" s="119">
        <v>2119</v>
      </c>
    </row>
    <row r="12" spans="1:184" ht="15">
      <c r="A12" s="43" t="s">
        <v>33</v>
      </c>
      <c r="B12" s="117">
        <v>257966</v>
      </c>
      <c r="C12" s="118">
        <v>189759</v>
      </c>
      <c r="D12" s="119">
        <v>305851</v>
      </c>
      <c r="F12" s="43" t="s">
        <v>33</v>
      </c>
      <c r="G12" s="117">
        <v>399498</v>
      </c>
      <c r="H12" s="118">
        <v>352868</v>
      </c>
      <c r="I12" s="119">
        <v>705758</v>
      </c>
      <c r="K12" s="43" t="s">
        <v>33</v>
      </c>
      <c r="L12" s="117">
        <v>415019</v>
      </c>
      <c r="M12" s="118">
        <v>255900</v>
      </c>
      <c r="N12" s="119">
        <v>385068</v>
      </c>
      <c r="P12" s="43" t="s">
        <v>33</v>
      </c>
      <c r="Q12" s="117"/>
      <c r="R12" s="118"/>
      <c r="S12" s="119"/>
      <c r="U12" s="43" t="s">
        <v>33</v>
      </c>
      <c r="V12" s="117"/>
      <c r="W12" s="118"/>
      <c r="X12" s="119"/>
      <c r="Z12" s="43" t="s">
        <v>33</v>
      </c>
      <c r="AA12" s="117"/>
      <c r="AB12" s="118"/>
      <c r="AC12" s="119"/>
      <c r="AE12" s="43" t="s">
        <v>33</v>
      </c>
      <c r="AF12" s="117"/>
      <c r="AG12" s="118"/>
      <c r="AH12" s="119"/>
      <c r="AJ12" s="43" t="s">
        <v>33</v>
      </c>
      <c r="AK12" s="117"/>
      <c r="AL12" s="118"/>
      <c r="AM12" s="119"/>
      <c r="AO12" s="43" t="s">
        <v>33</v>
      </c>
      <c r="AP12" s="117"/>
      <c r="AQ12" s="118"/>
      <c r="AR12" s="119"/>
      <c r="AT12" s="43" t="s">
        <v>33</v>
      </c>
      <c r="AU12" s="117"/>
      <c r="AV12" s="118"/>
      <c r="AW12" s="119"/>
      <c r="AY12" s="43" t="s">
        <v>33</v>
      </c>
      <c r="AZ12" s="117"/>
      <c r="BA12" s="118"/>
      <c r="BB12" s="119"/>
      <c r="BD12" s="43" t="s">
        <v>33</v>
      </c>
      <c r="BE12" s="117"/>
      <c r="BF12" s="118"/>
      <c r="BG12" s="119"/>
      <c r="BI12" s="43" t="s">
        <v>33</v>
      </c>
      <c r="BJ12" s="117"/>
      <c r="BK12" s="118"/>
      <c r="BL12" s="119"/>
      <c r="BN12" s="43" t="s">
        <v>33</v>
      </c>
      <c r="BO12" s="117"/>
      <c r="BP12" s="118"/>
      <c r="BQ12" s="119"/>
      <c r="BS12" s="43" t="s">
        <v>33</v>
      </c>
      <c r="BT12" s="117"/>
      <c r="BU12" s="118"/>
      <c r="BV12" s="119"/>
      <c r="BX12" s="43" t="s">
        <v>33</v>
      </c>
      <c r="BY12" s="117">
        <v>30455</v>
      </c>
      <c r="BZ12" s="118">
        <v>26462</v>
      </c>
      <c r="CA12" s="119">
        <v>68979</v>
      </c>
      <c r="CB12" s="30"/>
      <c r="CC12" s="43" t="s">
        <v>33</v>
      </c>
      <c r="CD12" s="117">
        <v>502</v>
      </c>
      <c r="CE12" s="118">
        <v>2014</v>
      </c>
      <c r="CF12" s="119">
        <v>7262</v>
      </c>
      <c r="CG12" s="30"/>
      <c r="CH12" s="43" t="s">
        <v>33</v>
      </c>
      <c r="CI12" s="117">
        <v>93</v>
      </c>
      <c r="CJ12" s="118">
        <v>58</v>
      </c>
      <c r="CK12" s="119">
        <v>97</v>
      </c>
      <c r="CL12" s="30"/>
      <c r="CM12" s="43" t="s">
        <v>33</v>
      </c>
      <c r="CN12" s="117">
        <v>220</v>
      </c>
      <c r="CO12" s="118">
        <v>156</v>
      </c>
      <c r="CP12" s="119">
        <v>295</v>
      </c>
      <c r="CR12" s="43" t="s">
        <v>33</v>
      </c>
      <c r="CS12" s="117">
        <v>149</v>
      </c>
      <c r="CT12" s="118">
        <v>66</v>
      </c>
      <c r="CU12" s="119">
        <v>115</v>
      </c>
      <c r="CW12" s="43" t="s">
        <v>33</v>
      </c>
      <c r="CX12" s="117">
        <v>78</v>
      </c>
      <c r="CY12" s="118">
        <v>68</v>
      </c>
      <c r="CZ12" s="119">
        <v>69</v>
      </c>
      <c r="DB12" s="43" t="s">
        <v>33</v>
      </c>
      <c r="DC12" s="117">
        <v>1185</v>
      </c>
      <c r="DD12" s="118">
        <v>938</v>
      </c>
      <c r="DE12" s="119">
        <v>1653</v>
      </c>
      <c r="DG12" s="43" t="s">
        <v>33</v>
      </c>
      <c r="DH12" s="117"/>
      <c r="DI12" s="118"/>
      <c r="DJ12" s="119"/>
      <c r="DL12" s="43" t="s">
        <v>33</v>
      </c>
      <c r="DM12" s="117"/>
      <c r="DN12" s="118"/>
      <c r="DO12" s="119"/>
      <c r="DQ12" s="43" t="s">
        <v>33</v>
      </c>
      <c r="DR12" s="117"/>
      <c r="DS12" s="118"/>
      <c r="DT12" s="119"/>
      <c r="DV12" s="43" t="s">
        <v>33</v>
      </c>
      <c r="DW12" s="117"/>
      <c r="DX12" s="118"/>
      <c r="DY12" s="119"/>
      <c r="EA12" s="43" t="s">
        <v>33</v>
      </c>
      <c r="EB12" s="117"/>
      <c r="EC12" s="118"/>
      <c r="ED12" s="119"/>
      <c r="EF12" s="43" t="s">
        <v>33</v>
      </c>
      <c r="EG12" s="117"/>
      <c r="EH12" s="118"/>
      <c r="EI12" s="119"/>
      <c r="EK12" s="43" t="s">
        <v>33</v>
      </c>
      <c r="EL12" s="117"/>
      <c r="EM12" s="118"/>
      <c r="EN12" s="119"/>
      <c r="EP12" s="43" t="s">
        <v>33</v>
      </c>
      <c r="EQ12" s="117"/>
      <c r="ER12" s="118"/>
      <c r="ES12" s="119"/>
      <c r="EU12" s="43" t="s">
        <v>33</v>
      </c>
      <c r="EV12" s="117"/>
      <c r="EW12" s="118"/>
      <c r="EX12" s="119"/>
      <c r="EZ12" s="43" t="s">
        <v>33</v>
      </c>
      <c r="FA12" s="117"/>
      <c r="FB12" s="118"/>
      <c r="FC12" s="119"/>
      <c r="FE12" s="43" t="s">
        <v>33</v>
      </c>
      <c r="FF12" s="117"/>
      <c r="FG12" s="118"/>
      <c r="FH12" s="119"/>
      <c r="FJ12" s="43" t="s">
        <v>33</v>
      </c>
      <c r="FK12" s="117"/>
      <c r="FL12" s="118"/>
      <c r="FM12" s="119"/>
      <c r="FO12" s="43" t="s">
        <v>33</v>
      </c>
      <c r="FP12" s="117">
        <v>112107</v>
      </c>
      <c r="FQ12" s="118">
        <v>58732</v>
      </c>
      <c r="FR12" s="119">
        <v>104107</v>
      </c>
      <c r="FT12" s="43" t="s">
        <v>33</v>
      </c>
      <c r="FU12" s="117">
        <v>11885</v>
      </c>
      <c r="FV12" s="118">
        <v>8434</v>
      </c>
      <c r="FW12" s="119">
        <v>10.65</v>
      </c>
      <c r="FY12" s="43" t="s">
        <v>33</v>
      </c>
      <c r="FZ12" s="117">
        <v>871</v>
      </c>
      <c r="GA12" s="118">
        <v>814</v>
      </c>
      <c r="GB12" s="119">
        <v>175</v>
      </c>
    </row>
    <row r="13" spans="1:184" ht="15">
      <c r="A13" s="43" t="s">
        <v>34</v>
      </c>
      <c r="B13" s="117"/>
      <c r="C13" s="118"/>
      <c r="D13" s="119"/>
      <c r="F13" s="43" t="s">
        <v>34</v>
      </c>
      <c r="G13" s="117">
        <v>389594</v>
      </c>
      <c r="H13" s="118">
        <v>374488</v>
      </c>
      <c r="I13" s="119">
        <v>657102</v>
      </c>
      <c r="K13" s="43" t="s">
        <v>34</v>
      </c>
      <c r="L13" s="117"/>
      <c r="M13" s="118"/>
      <c r="N13" s="119"/>
      <c r="P13" s="43" t="s">
        <v>34</v>
      </c>
      <c r="Q13" s="117"/>
      <c r="R13" s="118"/>
      <c r="S13" s="119"/>
      <c r="U13" s="43" t="s">
        <v>34</v>
      </c>
      <c r="V13" s="117"/>
      <c r="W13" s="118"/>
      <c r="X13" s="119"/>
      <c r="Z13" s="43" t="s">
        <v>34</v>
      </c>
      <c r="AA13" s="117"/>
      <c r="AB13" s="118"/>
      <c r="AC13" s="119"/>
      <c r="AE13" s="43" t="s">
        <v>34</v>
      </c>
      <c r="AF13" s="117"/>
      <c r="AG13" s="118"/>
      <c r="AH13" s="119"/>
      <c r="AJ13" s="43" t="s">
        <v>34</v>
      </c>
      <c r="AK13" s="117"/>
      <c r="AL13" s="118"/>
      <c r="AM13" s="119"/>
      <c r="AO13" s="43" t="s">
        <v>34</v>
      </c>
      <c r="AP13" s="117"/>
      <c r="AQ13" s="118"/>
      <c r="AR13" s="119"/>
      <c r="AT13" s="43" t="s">
        <v>34</v>
      </c>
      <c r="AU13" s="117"/>
      <c r="AV13" s="118"/>
      <c r="AW13" s="119"/>
      <c r="AY13" s="43" t="s">
        <v>34</v>
      </c>
      <c r="AZ13" s="117"/>
      <c r="BA13" s="118"/>
      <c r="BB13" s="119"/>
      <c r="BD13" s="43" t="s">
        <v>34</v>
      </c>
      <c r="BE13" s="117"/>
      <c r="BF13" s="118"/>
      <c r="BG13" s="119"/>
      <c r="BI13" s="43" t="s">
        <v>34</v>
      </c>
      <c r="BJ13" s="117"/>
      <c r="BK13" s="118"/>
      <c r="BL13" s="119"/>
      <c r="BN13" s="43" t="s">
        <v>34</v>
      </c>
      <c r="BO13" s="117"/>
      <c r="BP13" s="118"/>
      <c r="BQ13" s="119"/>
      <c r="BS13" s="43" t="s">
        <v>34</v>
      </c>
      <c r="BT13" s="117"/>
      <c r="BU13" s="118"/>
      <c r="BV13" s="119"/>
      <c r="BX13" s="43" t="s">
        <v>34</v>
      </c>
      <c r="BY13" s="117">
        <v>20298</v>
      </c>
      <c r="BZ13" s="118">
        <v>27361</v>
      </c>
      <c r="CA13" s="119">
        <v>70249</v>
      </c>
      <c r="CB13" s="30"/>
      <c r="CC13" s="43" t="s">
        <v>34</v>
      </c>
      <c r="CD13" s="117">
        <v>831</v>
      </c>
      <c r="CE13" s="118">
        <v>2471</v>
      </c>
      <c r="CF13" s="119">
        <v>7689</v>
      </c>
      <c r="CG13" s="30"/>
      <c r="CH13" s="43" t="s">
        <v>34</v>
      </c>
      <c r="CI13" s="117"/>
      <c r="CJ13" s="118"/>
      <c r="CK13" s="119"/>
      <c r="CL13" s="30"/>
      <c r="CM13" s="43" t="s">
        <v>34</v>
      </c>
      <c r="CN13" s="117"/>
      <c r="CO13" s="118"/>
      <c r="CP13" s="119"/>
      <c r="CR13" s="43" t="s">
        <v>34</v>
      </c>
      <c r="CS13" s="117"/>
      <c r="CT13" s="118"/>
      <c r="CU13" s="119"/>
      <c r="CW13" s="43" t="s">
        <v>34</v>
      </c>
      <c r="CX13" s="117"/>
      <c r="CY13" s="118"/>
      <c r="CZ13" s="119"/>
      <c r="DB13" s="43" t="s">
        <v>34</v>
      </c>
      <c r="DC13" s="117"/>
      <c r="DD13" s="118"/>
      <c r="DE13" s="119"/>
      <c r="DG13" s="43" t="s">
        <v>34</v>
      </c>
      <c r="DH13" s="117"/>
      <c r="DI13" s="118"/>
      <c r="DJ13" s="119"/>
      <c r="DL13" s="43" t="s">
        <v>34</v>
      </c>
      <c r="DM13" s="117"/>
      <c r="DN13" s="118"/>
      <c r="DO13" s="119"/>
      <c r="DQ13" s="43" t="s">
        <v>34</v>
      </c>
      <c r="DR13" s="117"/>
      <c r="DS13" s="118"/>
      <c r="DT13" s="119"/>
      <c r="DV13" s="43" t="s">
        <v>34</v>
      </c>
      <c r="DW13" s="117"/>
      <c r="DX13" s="118"/>
      <c r="DY13" s="119"/>
      <c r="EA13" s="43" t="s">
        <v>34</v>
      </c>
      <c r="EB13" s="117"/>
      <c r="EC13" s="118"/>
      <c r="ED13" s="119"/>
      <c r="EF13" s="43" t="s">
        <v>34</v>
      </c>
      <c r="EG13" s="117"/>
      <c r="EH13" s="118"/>
      <c r="EI13" s="119"/>
      <c r="EK13" s="43" t="s">
        <v>34</v>
      </c>
      <c r="EL13" s="117"/>
      <c r="EM13" s="118"/>
      <c r="EN13" s="119"/>
      <c r="EP13" s="43" t="s">
        <v>34</v>
      </c>
      <c r="EQ13" s="117"/>
      <c r="ER13" s="118"/>
      <c r="ES13" s="119"/>
      <c r="EU13" s="43" t="s">
        <v>34</v>
      </c>
      <c r="EV13" s="117"/>
      <c r="EW13" s="118"/>
      <c r="EX13" s="119"/>
      <c r="EZ13" s="43" t="s">
        <v>34</v>
      </c>
      <c r="FA13" s="117"/>
      <c r="FB13" s="118"/>
      <c r="FC13" s="119"/>
      <c r="FE13" s="43" t="s">
        <v>34</v>
      </c>
      <c r="FF13" s="117"/>
      <c r="FG13" s="118"/>
      <c r="FH13" s="119"/>
      <c r="FJ13" s="43" t="s">
        <v>34</v>
      </c>
      <c r="FK13" s="117"/>
      <c r="FL13" s="118"/>
      <c r="FM13" s="119"/>
      <c r="FO13" s="43" t="s">
        <v>34</v>
      </c>
      <c r="FP13" s="117"/>
      <c r="FQ13" s="118"/>
      <c r="FR13" s="119"/>
      <c r="FT13" s="43" t="s">
        <v>34</v>
      </c>
      <c r="FU13" s="117"/>
      <c r="FV13" s="118"/>
      <c r="FW13" s="119"/>
      <c r="FY13" s="43" t="s">
        <v>34</v>
      </c>
      <c r="FZ13" s="117"/>
      <c r="GA13" s="118"/>
      <c r="GB13" s="119"/>
    </row>
    <row r="14" spans="1:184" ht="15">
      <c r="A14" s="43" t="s">
        <v>35</v>
      </c>
      <c r="B14" s="117"/>
      <c r="C14" s="118"/>
      <c r="D14" s="119"/>
      <c r="F14" s="43" t="s">
        <v>35</v>
      </c>
      <c r="G14" s="117"/>
      <c r="H14" s="118"/>
      <c r="I14" s="119"/>
      <c r="K14" s="43" t="s">
        <v>35</v>
      </c>
      <c r="L14" s="117"/>
      <c r="M14" s="118"/>
      <c r="N14" s="119"/>
      <c r="P14" s="43" t="s">
        <v>35</v>
      </c>
      <c r="Q14" s="117"/>
      <c r="R14" s="118"/>
      <c r="S14" s="119"/>
      <c r="U14" s="43" t="s">
        <v>35</v>
      </c>
      <c r="V14" s="117"/>
      <c r="W14" s="118"/>
      <c r="X14" s="119"/>
      <c r="Z14" s="43" t="s">
        <v>35</v>
      </c>
      <c r="AA14" s="117"/>
      <c r="AB14" s="118"/>
      <c r="AC14" s="119"/>
      <c r="AE14" s="43" t="s">
        <v>35</v>
      </c>
      <c r="AF14" s="117"/>
      <c r="AG14" s="118"/>
      <c r="AH14" s="119"/>
      <c r="AJ14" s="43" t="s">
        <v>35</v>
      </c>
      <c r="AK14" s="117"/>
      <c r="AL14" s="118"/>
      <c r="AM14" s="119"/>
      <c r="AO14" s="43" t="s">
        <v>35</v>
      </c>
      <c r="AP14" s="117"/>
      <c r="AQ14" s="118"/>
      <c r="AR14" s="119"/>
      <c r="AT14" s="43" t="s">
        <v>35</v>
      </c>
      <c r="AU14" s="117"/>
      <c r="AV14" s="118"/>
      <c r="AW14" s="119"/>
      <c r="AY14" s="43" t="s">
        <v>35</v>
      </c>
      <c r="AZ14" s="117"/>
      <c r="BA14" s="118"/>
      <c r="BB14" s="119"/>
      <c r="BD14" s="43" t="s">
        <v>35</v>
      </c>
      <c r="BE14" s="117"/>
      <c r="BF14" s="118"/>
      <c r="BG14" s="119"/>
      <c r="BI14" s="43" t="s">
        <v>35</v>
      </c>
      <c r="BJ14" s="117"/>
      <c r="BK14" s="118"/>
      <c r="BL14" s="119"/>
      <c r="BN14" s="43" t="s">
        <v>35</v>
      </c>
      <c r="BO14" s="117"/>
      <c r="BP14" s="118"/>
      <c r="BQ14" s="119"/>
      <c r="BS14" s="43" t="s">
        <v>35</v>
      </c>
      <c r="BT14" s="117"/>
      <c r="BU14" s="118"/>
      <c r="BV14" s="119"/>
      <c r="BX14" s="43" t="s">
        <v>35</v>
      </c>
      <c r="BY14" s="117">
        <v>27979</v>
      </c>
      <c r="BZ14" s="118">
        <v>29744</v>
      </c>
      <c r="CA14" s="119">
        <v>73014</v>
      </c>
      <c r="CB14" s="30"/>
      <c r="CC14" s="43" t="s">
        <v>35</v>
      </c>
      <c r="CD14" s="117"/>
      <c r="CE14" s="118"/>
      <c r="CF14" s="119"/>
      <c r="CG14" s="30"/>
      <c r="CH14" s="43" t="s">
        <v>35</v>
      </c>
      <c r="CI14" s="117"/>
      <c r="CJ14" s="118"/>
      <c r="CK14" s="119"/>
      <c r="CL14" s="30"/>
      <c r="CM14" s="43" t="s">
        <v>35</v>
      </c>
      <c r="CN14" s="117"/>
      <c r="CO14" s="118"/>
      <c r="CP14" s="119"/>
      <c r="CR14" s="43" t="s">
        <v>35</v>
      </c>
      <c r="CS14" s="117"/>
      <c r="CT14" s="118"/>
      <c r="CU14" s="119"/>
      <c r="CW14" s="43" t="s">
        <v>35</v>
      </c>
      <c r="CX14" s="117"/>
      <c r="CY14" s="118"/>
      <c r="CZ14" s="119"/>
      <c r="DB14" s="43" t="s">
        <v>35</v>
      </c>
      <c r="DC14" s="117"/>
      <c r="DD14" s="118"/>
      <c r="DE14" s="119"/>
      <c r="DG14" s="43" t="s">
        <v>35</v>
      </c>
      <c r="DH14" s="117"/>
      <c r="DI14" s="118"/>
      <c r="DJ14" s="119"/>
      <c r="DL14" s="43" t="s">
        <v>35</v>
      </c>
      <c r="DM14" s="117"/>
      <c r="DN14" s="118"/>
      <c r="DO14" s="119"/>
      <c r="DQ14" s="43" t="s">
        <v>35</v>
      </c>
      <c r="DR14" s="117"/>
      <c r="DS14" s="118"/>
      <c r="DT14" s="119"/>
      <c r="DV14" s="43" t="s">
        <v>35</v>
      </c>
      <c r="DW14" s="117"/>
      <c r="DX14" s="118"/>
      <c r="DY14" s="119"/>
      <c r="EA14" s="43" t="s">
        <v>35</v>
      </c>
      <c r="EB14" s="117"/>
      <c r="EC14" s="118"/>
      <c r="ED14" s="119"/>
      <c r="EF14" s="43" t="s">
        <v>35</v>
      </c>
      <c r="EG14" s="117"/>
      <c r="EH14" s="118"/>
      <c r="EI14" s="119"/>
      <c r="EK14" s="43" t="s">
        <v>35</v>
      </c>
      <c r="EL14" s="117"/>
      <c r="EM14" s="118"/>
      <c r="EN14" s="119"/>
      <c r="EP14" s="43" t="s">
        <v>35</v>
      </c>
      <c r="EQ14" s="117"/>
      <c r="ER14" s="118"/>
      <c r="ES14" s="119"/>
      <c r="EU14" s="43" t="s">
        <v>35</v>
      </c>
      <c r="EV14" s="117"/>
      <c r="EW14" s="118"/>
      <c r="EX14" s="119"/>
      <c r="EZ14" s="43" t="s">
        <v>35</v>
      </c>
      <c r="FA14" s="117"/>
      <c r="FB14" s="118"/>
      <c r="FC14" s="119"/>
      <c r="FE14" s="43" t="s">
        <v>35</v>
      </c>
      <c r="FF14" s="117"/>
      <c r="FG14" s="118"/>
      <c r="FH14" s="119"/>
      <c r="FJ14" s="43" t="s">
        <v>35</v>
      </c>
      <c r="FK14" s="117"/>
      <c r="FL14" s="118"/>
      <c r="FM14" s="119"/>
      <c r="FO14" s="43" t="s">
        <v>35</v>
      </c>
      <c r="FP14" s="117"/>
      <c r="FQ14" s="118"/>
      <c r="FR14" s="119"/>
      <c r="FT14" s="43" t="s">
        <v>35</v>
      </c>
      <c r="FU14" s="117"/>
      <c r="FV14" s="118"/>
      <c r="FW14" s="119"/>
      <c r="FY14" s="43" t="s">
        <v>35</v>
      </c>
      <c r="FZ14" s="117"/>
      <c r="GA14" s="118"/>
      <c r="GB14" s="119"/>
    </row>
    <row r="15" spans="1:184" ht="15">
      <c r="A15" s="43" t="s">
        <v>36</v>
      </c>
      <c r="B15" s="117"/>
      <c r="C15" s="118"/>
      <c r="D15" s="119"/>
      <c r="F15" s="43" t="s">
        <v>36</v>
      </c>
      <c r="G15" s="117"/>
      <c r="H15" s="118"/>
      <c r="I15" s="119"/>
      <c r="K15" s="43" t="s">
        <v>36</v>
      </c>
      <c r="L15" s="117"/>
      <c r="M15" s="118"/>
      <c r="N15" s="119"/>
      <c r="P15" s="43" t="s">
        <v>36</v>
      </c>
      <c r="Q15" s="117"/>
      <c r="R15" s="118"/>
      <c r="S15" s="119"/>
      <c r="U15" s="43" t="s">
        <v>36</v>
      </c>
      <c r="V15" s="117"/>
      <c r="W15" s="118"/>
      <c r="X15" s="119"/>
      <c r="Z15" s="43" t="s">
        <v>36</v>
      </c>
      <c r="AA15" s="117"/>
      <c r="AB15" s="118"/>
      <c r="AC15" s="119"/>
      <c r="AE15" s="43" t="s">
        <v>36</v>
      </c>
      <c r="AF15" s="117"/>
      <c r="AG15" s="118"/>
      <c r="AH15" s="119"/>
      <c r="AJ15" s="43" t="s">
        <v>36</v>
      </c>
      <c r="AK15" s="117"/>
      <c r="AL15" s="118"/>
      <c r="AM15" s="119"/>
      <c r="AO15" s="43" t="s">
        <v>36</v>
      </c>
      <c r="AP15" s="117"/>
      <c r="AQ15" s="118"/>
      <c r="AR15" s="119"/>
      <c r="AT15" s="43" t="s">
        <v>36</v>
      </c>
      <c r="AU15" s="117"/>
      <c r="AV15" s="118"/>
      <c r="AW15" s="119"/>
      <c r="AY15" s="43" t="s">
        <v>36</v>
      </c>
      <c r="AZ15" s="117"/>
      <c r="BA15" s="118"/>
      <c r="BB15" s="119"/>
      <c r="BD15" s="43" t="s">
        <v>36</v>
      </c>
      <c r="BE15" s="117"/>
      <c r="BF15" s="118"/>
      <c r="BG15" s="119"/>
      <c r="BI15" s="43" t="s">
        <v>36</v>
      </c>
      <c r="BJ15" s="117"/>
      <c r="BK15" s="118"/>
      <c r="BL15" s="119"/>
      <c r="BN15" s="43" t="s">
        <v>36</v>
      </c>
      <c r="BO15" s="117"/>
      <c r="BP15" s="118"/>
      <c r="BQ15" s="119"/>
      <c r="BS15" s="43" t="s">
        <v>36</v>
      </c>
      <c r="BT15" s="117"/>
      <c r="BU15" s="118"/>
      <c r="BV15" s="119"/>
      <c r="BX15" s="43" t="s">
        <v>36</v>
      </c>
      <c r="BY15" s="117"/>
      <c r="BZ15" s="118"/>
      <c r="CA15" s="119"/>
      <c r="CB15" s="30"/>
      <c r="CC15" s="43" t="s">
        <v>36</v>
      </c>
      <c r="CD15" s="117"/>
      <c r="CE15" s="118"/>
      <c r="CF15" s="119"/>
      <c r="CG15" s="30"/>
      <c r="CH15" s="43" t="s">
        <v>36</v>
      </c>
      <c r="CI15" s="117"/>
      <c r="CJ15" s="118"/>
      <c r="CK15" s="119"/>
      <c r="CL15" s="30"/>
      <c r="CM15" s="43" t="s">
        <v>36</v>
      </c>
      <c r="CN15" s="117"/>
      <c r="CO15" s="118"/>
      <c r="CP15" s="119"/>
      <c r="CR15" s="43" t="s">
        <v>36</v>
      </c>
      <c r="CS15" s="117"/>
      <c r="CT15" s="118"/>
      <c r="CU15" s="119"/>
      <c r="CW15" s="43" t="s">
        <v>36</v>
      </c>
      <c r="CX15" s="117"/>
      <c r="CY15" s="118"/>
      <c r="CZ15" s="119"/>
      <c r="DB15" s="43" t="s">
        <v>36</v>
      </c>
      <c r="DC15" s="117"/>
      <c r="DD15" s="118"/>
      <c r="DE15" s="119"/>
      <c r="DG15" s="43" t="s">
        <v>36</v>
      </c>
      <c r="DH15" s="117"/>
      <c r="DI15" s="118"/>
      <c r="DJ15" s="119"/>
      <c r="DL15" s="43" t="s">
        <v>36</v>
      </c>
      <c r="DM15" s="117"/>
      <c r="DN15" s="118"/>
      <c r="DO15" s="119"/>
      <c r="DQ15" s="43" t="s">
        <v>36</v>
      </c>
      <c r="DR15" s="117"/>
      <c r="DS15" s="118"/>
      <c r="DT15" s="119"/>
      <c r="DV15" s="43" t="s">
        <v>36</v>
      </c>
      <c r="DW15" s="117"/>
      <c r="DX15" s="118"/>
      <c r="DY15" s="119"/>
      <c r="EA15" s="43" t="s">
        <v>36</v>
      </c>
      <c r="EB15" s="117"/>
      <c r="EC15" s="118"/>
      <c r="ED15" s="119"/>
      <c r="EF15" s="43" t="s">
        <v>36</v>
      </c>
      <c r="EG15" s="117"/>
      <c r="EH15" s="118"/>
      <c r="EI15" s="119"/>
      <c r="EK15" s="43" t="s">
        <v>36</v>
      </c>
      <c r="EL15" s="117"/>
      <c r="EM15" s="118"/>
      <c r="EN15" s="119"/>
      <c r="EP15" s="43" t="s">
        <v>36</v>
      </c>
      <c r="EQ15" s="117"/>
      <c r="ER15" s="118"/>
      <c r="ES15" s="119"/>
      <c r="EU15" s="43" t="s">
        <v>36</v>
      </c>
      <c r="EV15" s="117"/>
      <c r="EW15" s="118"/>
      <c r="EX15" s="119"/>
      <c r="EZ15" s="43" t="s">
        <v>36</v>
      </c>
      <c r="FA15" s="117"/>
      <c r="FB15" s="118"/>
      <c r="FC15" s="119"/>
      <c r="FE15" s="43" t="s">
        <v>36</v>
      </c>
      <c r="FF15" s="117"/>
      <c r="FG15" s="118"/>
      <c r="FH15" s="119"/>
      <c r="FJ15" s="43" t="s">
        <v>36</v>
      </c>
      <c r="FK15" s="117"/>
      <c r="FL15" s="118"/>
      <c r="FM15" s="119"/>
      <c r="FO15" s="43" t="s">
        <v>36</v>
      </c>
      <c r="FP15" s="117"/>
      <c r="FQ15" s="118"/>
      <c r="FR15" s="119"/>
      <c r="FT15" s="43" t="s">
        <v>36</v>
      </c>
      <c r="FU15" s="117"/>
      <c r="FV15" s="118"/>
      <c r="FW15" s="119"/>
      <c r="FY15" s="43" t="s">
        <v>36</v>
      </c>
      <c r="FZ15" s="117"/>
      <c r="GA15" s="118"/>
      <c r="GB15" s="119"/>
    </row>
    <row r="16" spans="1:184" ht="15">
      <c r="A16" s="147" t="s">
        <v>52</v>
      </c>
      <c r="B16" s="42">
        <f>SUM(B4:B15)</f>
        <v>2041600</v>
      </c>
      <c r="C16" s="42">
        <f>SUM(C4:C15)</f>
        <v>1393983</v>
      </c>
      <c r="D16" s="42">
        <f>SUM(D4:D15)</f>
        <v>2452275</v>
      </c>
      <c r="F16" s="147" t="s">
        <v>52</v>
      </c>
      <c r="G16" s="42">
        <f>SUM(G4:G15)</f>
        <v>3741173</v>
      </c>
      <c r="H16" s="42">
        <f>SUM(H4:H15)</f>
        <v>3475983</v>
      </c>
      <c r="I16" s="42">
        <f>SUM(I4:I15)</f>
        <v>6577209</v>
      </c>
      <c r="K16" s="147" t="s">
        <v>52</v>
      </c>
      <c r="L16" s="42">
        <f>SUM(L4:L15)</f>
        <v>3585083</v>
      </c>
      <c r="M16" s="42">
        <f>SUM(M4:M15)</f>
        <v>2064999</v>
      </c>
      <c r="N16" s="42">
        <f>SUM(N4:N15)</f>
        <v>3364996</v>
      </c>
      <c r="P16" s="147" t="s">
        <v>52</v>
      </c>
      <c r="Q16" s="42">
        <f>SUM(Q4:Q15)</f>
        <v>110704</v>
      </c>
      <c r="R16" s="42">
        <f>SUM(R4:R15)</f>
        <v>91081</v>
      </c>
      <c r="S16" s="42">
        <f>SUM(S4:S15)</f>
        <v>221946</v>
      </c>
      <c r="U16" s="147" t="s">
        <v>52</v>
      </c>
      <c r="V16" s="42">
        <f>SUM(V4:V15)</f>
        <v>2416</v>
      </c>
      <c r="W16" s="42">
        <f>SUM(W4:W15)</f>
        <v>3730</v>
      </c>
      <c r="X16" s="42">
        <f>SUM(X4:X15)</f>
        <v>11039</v>
      </c>
      <c r="Z16" s="147" t="s">
        <v>52</v>
      </c>
      <c r="AA16" s="42">
        <f>SUM(AA4:AA15)</f>
        <v>28287</v>
      </c>
      <c r="AB16" s="42">
        <f>SUM(AB4:AB15)</f>
        <v>14818</v>
      </c>
      <c r="AC16" s="42">
        <f>SUM(AC4:AC15)</f>
        <v>26264</v>
      </c>
      <c r="AE16" s="147" t="s">
        <v>52</v>
      </c>
      <c r="AF16" s="42">
        <f>SUM(AF4:AF15)</f>
        <v>64421</v>
      </c>
      <c r="AG16" s="42">
        <f>SUM(AG4:AG15)</f>
        <v>76832</v>
      </c>
      <c r="AH16" s="42">
        <f>SUM(AH4:AH15)</f>
        <v>200125</v>
      </c>
      <c r="AJ16" s="147" t="s">
        <v>52</v>
      </c>
      <c r="AK16" s="42">
        <f>SUM(AK4:AK15)</f>
        <v>8667</v>
      </c>
      <c r="AL16" s="42">
        <f>SUM(AL4:AL15)</f>
        <v>16218</v>
      </c>
      <c r="AM16" s="42">
        <f>SUM(AM4:AM15)</f>
        <v>39882</v>
      </c>
      <c r="AO16" s="147" t="s">
        <v>52</v>
      </c>
      <c r="AP16" s="42">
        <f>SUM(AP4:AP15)</f>
        <v>12780</v>
      </c>
      <c r="AQ16" s="42">
        <f>SUM(AQ4:AQ15)</f>
        <v>35657</v>
      </c>
      <c r="AR16" s="42">
        <f>SUM(AR4:AR15)</f>
        <v>96106</v>
      </c>
      <c r="AT16" s="147" t="s">
        <v>52</v>
      </c>
      <c r="AU16" s="42">
        <f>SUM(AU4:AU15)</f>
        <v>15446</v>
      </c>
      <c r="AV16" s="42">
        <f>SUM(AV4:AV15)</f>
        <v>20755</v>
      </c>
      <c r="AW16" s="42">
        <f>SUM(AW4:AW15)</f>
        <v>48073</v>
      </c>
      <c r="AY16" s="147" t="s">
        <v>52</v>
      </c>
      <c r="AZ16" s="42">
        <f>SUM(AZ4:AZ15)</f>
        <v>11542</v>
      </c>
      <c r="BA16" s="42">
        <f>SUM(BA4:BA15)</f>
        <v>38815</v>
      </c>
      <c r="BB16" s="42">
        <f>SUM(BB4:BB15)</f>
        <v>107774</v>
      </c>
      <c r="BD16" s="147" t="s">
        <v>52</v>
      </c>
      <c r="BE16" s="42">
        <f>SUM(BE4:BE15)</f>
        <v>9250</v>
      </c>
      <c r="BF16" s="42">
        <f>SUM(BF4:BF15)</f>
        <v>6657</v>
      </c>
      <c r="BG16" s="42">
        <f>SUM(BG4:BG15)</f>
        <v>9050</v>
      </c>
      <c r="BI16" s="147" t="s">
        <v>52</v>
      </c>
      <c r="BJ16" s="42">
        <f>SUM(BJ4:BJ15)</f>
        <v>90308</v>
      </c>
      <c r="BK16" s="42">
        <f>SUM(BK4:BK15)</f>
        <v>52318</v>
      </c>
      <c r="BL16" s="42">
        <f>SUM(BL4:BL15)</f>
        <v>103691</v>
      </c>
      <c r="BN16" s="147" t="s">
        <v>52</v>
      </c>
      <c r="BO16" s="42">
        <f>SUM(BO4:BO15)</f>
        <v>9926</v>
      </c>
      <c r="BP16" s="42">
        <f>SUM(BP4:BP15)</f>
        <v>3833</v>
      </c>
      <c r="BQ16" s="42">
        <f>SUM(BQ4:BQ15)</f>
        <v>7563</v>
      </c>
      <c r="BS16" s="147" t="s">
        <v>52</v>
      </c>
      <c r="BT16" s="42">
        <f>SUM(BT4:BT15)</f>
        <v>6661</v>
      </c>
      <c r="BU16" s="42">
        <f>SUM(BU4:BU15)</f>
        <v>4886</v>
      </c>
      <c r="BV16" s="42">
        <f>SUM(BV4:BV15)</f>
        <v>3255</v>
      </c>
      <c r="BX16" s="147" t="s">
        <v>52</v>
      </c>
      <c r="BY16" s="42">
        <f>SUM(BY4:BY15)</f>
        <v>376320</v>
      </c>
      <c r="BZ16" s="42">
        <f>SUM(BZ4:BZ15)</f>
        <v>338000</v>
      </c>
      <c r="CA16" s="42">
        <f>SUM(CA4:CA15)</f>
        <v>893138</v>
      </c>
      <c r="CB16" s="30"/>
      <c r="CC16" s="147" t="s">
        <v>52</v>
      </c>
      <c r="CD16" s="42">
        <f>SUM(CD4:CD15)</f>
        <v>8273</v>
      </c>
      <c r="CE16" s="42">
        <f>SUM(CE4:CE15)</f>
        <v>22825</v>
      </c>
      <c r="CF16" s="42">
        <f>SUM(CF4:CF15)</f>
        <v>80744</v>
      </c>
      <c r="CG16" s="30"/>
      <c r="CH16" s="147" t="s">
        <v>52</v>
      </c>
      <c r="CI16" s="42">
        <f>SUM(CI4:CI15)</f>
        <v>956</v>
      </c>
      <c r="CJ16" s="42">
        <f>SUM(CJ4:CJ15)</f>
        <v>560</v>
      </c>
      <c r="CK16" s="42">
        <f>SUM(CK4:CK15)</f>
        <v>1068</v>
      </c>
      <c r="CL16" s="30"/>
      <c r="CM16" s="147" t="s">
        <v>52</v>
      </c>
      <c r="CN16" s="42">
        <f>SUM(CN4:CN15)</f>
        <v>384</v>
      </c>
      <c r="CO16" s="42">
        <f>SUM(CO4:CO15)</f>
        <v>271</v>
      </c>
      <c r="CP16" s="42">
        <f>SUM(CP4:CP15)</f>
        <v>520</v>
      </c>
      <c r="CR16" s="147" t="s">
        <v>52</v>
      </c>
      <c r="CS16" s="42">
        <f>SUM(CS4:CS15)</f>
        <v>1232</v>
      </c>
      <c r="CT16" s="42">
        <f>SUM(CT4:CT15)</f>
        <v>530</v>
      </c>
      <c r="CU16" s="42">
        <f>SUM(CU4:CU15)</f>
        <v>957</v>
      </c>
      <c r="CW16" s="147" t="s">
        <v>52</v>
      </c>
      <c r="CX16" s="42">
        <f>SUM(CX4:CX15)</f>
        <v>682</v>
      </c>
      <c r="CY16" s="42">
        <f>SUM(CY4:CY15)</f>
        <v>645</v>
      </c>
      <c r="CZ16" s="42">
        <f>SUM(CZ4:CZ15)</f>
        <v>639</v>
      </c>
      <c r="DB16" s="147" t="s">
        <v>52</v>
      </c>
      <c r="DC16" s="42">
        <f>SUM(DC4:DC15)</f>
        <v>7189</v>
      </c>
      <c r="DD16" s="42">
        <f>SUM(DD4:DD15)</f>
        <v>5158</v>
      </c>
      <c r="DE16" s="42">
        <f>SUM(DE4:DE15)</f>
        <v>10249</v>
      </c>
      <c r="DG16" s="147" t="s">
        <v>52</v>
      </c>
      <c r="DH16" s="42">
        <f>SUM(DH4:DH15)</f>
        <v>4089</v>
      </c>
      <c r="DI16" s="42">
        <f>SUM(DI4:DI15)</f>
        <v>10891</v>
      </c>
      <c r="DJ16" s="42">
        <f>SUM(DJ4:DJ15)</f>
        <v>38486</v>
      </c>
      <c r="DL16" s="147" t="s">
        <v>52</v>
      </c>
      <c r="DM16" s="42">
        <f>SUM(DM4:DM15)</f>
        <v>2313</v>
      </c>
      <c r="DN16" s="42">
        <f>SUM(DN4:DN15)</f>
        <v>1658</v>
      </c>
      <c r="DO16" s="42">
        <f>SUM(DO4:DO15)</f>
        <v>3283</v>
      </c>
      <c r="DQ16" s="147" t="s">
        <v>52</v>
      </c>
      <c r="DR16" s="42">
        <f>SUM(DR4:DR15)</f>
        <v>141204</v>
      </c>
      <c r="DS16" s="42">
        <f>SUM(DS4:DS15)</f>
        <v>110908</v>
      </c>
      <c r="DT16" s="42">
        <f>SUM(DT4:DT15)</f>
        <v>216676</v>
      </c>
      <c r="DV16" s="147" t="s">
        <v>52</v>
      </c>
      <c r="DW16" s="42">
        <f>SUM(DW4:DW15)</f>
        <v>377411</v>
      </c>
      <c r="DX16" s="42">
        <f>SUM(DX4:DX15)</f>
        <v>266144</v>
      </c>
      <c r="DY16" s="42">
        <f>SUM(DY4:DY15)</f>
        <v>474996</v>
      </c>
      <c r="EA16" s="147" t="s">
        <v>52</v>
      </c>
      <c r="EB16" s="42">
        <f>SUM(EB4:EB15)</f>
        <v>48307</v>
      </c>
      <c r="EC16" s="42">
        <f>SUM(EC4:EC15)</f>
        <v>38223</v>
      </c>
      <c r="ED16" s="42">
        <f>SUM(ED4:ED15)</f>
        <v>94669</v>
      </c>
      <c r="EF16" s="147" t="s">
        <v>52</v>
      </c>
      <c r="EG16" s="42">
        <f>SUM(EG4:EG15)</f>
        <v>98640</v>
      </c>
      <c r="EH16" s="42">
        <f>SUM(EH4:EH15)</f>
        <v>40680</v>
      </c>
      <c r="EI16" s="42">
        <f>SUM(EI4:EI15)</f>
        <v>102591</v>
      </c>
      <c r="EK16" s="147" t="s">
        <v>52</v>
      </c>
      <c r="EL16" s="42">
        <f>SUM(EL4:EL15)</f>
        <v>19120</v>
      </c>
      <c r="EM16" s="42">
        <f>SUM(EM4:EM15)</f>
        <v>19622</v>
      </c>
      <c r="EN16" s="42">
        <f>SUM(EN4:EN15)</f>
        <v>91661</v>
      </c>
      <c r="EP16" s="147" t="s">
        <v>52</v>
      </c>
      <c r="EQ16" s="42">
        <f>SUM(EQ4:EQ15)</f>
        <v>51934</v>
      </c>
      <c r="ER16" s="42">
        <f>SUM(ER4:ER15)</f>
        <v>43155</v>
      </c>
      <c r="ES16" s="42">
        <f>SUM(ES4:ES15)</f>
        <v>100808</v>
      </c>
      <c r="EU16" s="147" t="s">
        <v>52</v>
      </c>
      <c r="EV16" s="42">
        <f>SUM(EV4:EV15)</f>
        <v>41622</v>
      </c>
      <c r="EW16" s="42">
        <f>SUM(EW4:EW15)</f>
        <v>39355</v>
      </c>
      <c r="EX16" s="42">
        <f>SUM(EX4:EX15)</f>
        <v>110196</v>
      </c>
      <c r="EZ16" s="147" t="s">
        <v>52</v>
      </c>
      <c r="FA16" s="42">
        <f>SUM(FA4:FA15)</f>
        <v>25296</v>
      </c>
      <c r="FB16" s="42">
        <f>SUM(FB4:FB15)</f>
        <v>18829</v>
      </c>
      <c r="FC16" s="42">
        <f>SUM(FC4:FC15)</f>
        <v>68333</v>
      </c>
      <c r="FE16" s="147" t="s">
        <v>52</v>
      </c>
      <c r="FF16" s="42">
        <f>SUM(FF4:FF15)</f>
        <v>8518</v>
      </c>
      <c r="FG16" s="42">
        <f>SUM(FG4:FG15)</f>
        <v>5579</v>
      </c>
      <c r="FH16" s="42">
        <f>SUM(FH4:FH15)</f>
        <v>13684</v>
      </c>
      <c r="FJ16" s="147" t="s">
        <v>52</v>
      </c>
      <c r="FK16" s="42">
        <f>SUM(FK4:FK15)</f>
        <v>245</v>
      </c>
      <c r="FL16" s="42">
        <f>SUM(FL4:FL15)</f>
        <v>305</v>
      </c>
      <c r="FM16" s="42">
        <f>SUM(FM4:FM15)</f>
        <v>1551</v>
      </c>
      <c r="FO16" s="147" t="s">
        <v>52</v>
      </c>
      <c r="FP16" s="42">
        <f>SUM(FP4:FP15)</f>
        <v>947891</v>
      </c>
      <c r="FQ16" s="42">
        <f>SUM(FQ4:FQ15)</f>
        <v>476456</v>
      </c>
      <c r="FR16" s="42">
        <f>SUM(FR4:FR15)</f>
        <v>967248</v>
      </c>
      <c r="FT16" s="147" t="s">
        <v>52</v>
      </c>
      <c r="FU16" s="42">
        <f>SUM(FU4:FU15)</f>
        <v>111848</v>
      </c>
      <c r="FV16" s="42">
        <f>SUM(FV4:FV15)</f>
        <v>60847</v>
      </c>
      <c r="FW16" s="42">
        <f>SUM(FW4:FW15)</f>
        <v>97894.65</v>
      </c>
      <c r="FY16" s="147" t="s">
        <v>52</v>
      </c>
      <c r="FZ16" s="42">
        <f>SUM(FZ4:FZ15)</f>
        <v>8220</v>
      </c>
      <c r="GA16" s="42">
        <f>SUM(GA4:GA15)</f>
        <v>6871</v>
      </c>
      <c r="GB16" s="42">
        <f>SUM(GB4:GB15)</f>
        <v>13093</v>
      </c>
    </row>
    <row r="17" spans="1:184" s="30" customFormat="1" ht="15">
      <c r="B17" s="183"/>
      <c r="C17" s="170"/>
      <c r="D17" s="170"/>
      <c r="G17" s="207"/>
      <c r="H17" s="170"/>
      <c r="I17" s="170"/>
      <c r="L17" s="207"/>
      <c r="M17" s="170"/>
      <c r="Q17" s="207"/>
      <c r="R17" s="170"/>
      <c r="V17" s="207"/>
      <c r="W17" s="170"/>
      <c r="AA17" s="207"/>
      <c r="AB17" s="170"/>
      <c r="AF17" s="207"/>
      <c r="AG17" s="170"/>
      <c r="AK17" s="207"/>
      <c r="AL17" s="170"/>
      <c r="AP17" s="207"/>
      <c r="AQ17" s="170"/>
      <c r="AU17" s="207"/>
      <c r="AV17" s="170"/>
      <c r="AZ17" s="207"/>
      <c r="BA17" s="170"/>
      <c r="BE17" s="207"/>
      <c r="BF17" s="170"/>
      <c r="BJ17" s="207"/>
      <c r="BN17" s="170"/>
      <c r="BO17" s="207"/>
      <c r="BP17" s="170"/>
      <c r="BT17" s="207"/>
      <c r="BU17" s="170"/>
      <c r="BY17" s="207"/>
      <c r="BZ17" s="170"/>
      <c r="CD17" s="207"/>
      <c r="CE17" s="170"/>
      <c r="CI17" s="207"/>
      <c r="CJ17" s="170"/>
      <c r="CN17" s="207"/>
      <c r="CO17" s="170"/>
      <c r="CS17" s="207"/>
      <c r="CT17" s="170"/>
      <c r="CX17" s="207"/>
      <c r="CY17" s="170"/>
      <c r="DC17" s="207"/>
      <c r="DD17" s="170"/>
      <c r="DH17" s="207"/>
      <c r="DI17" s="170"/>
      <c r="DM17" s="207"/>
      <c r="DN17" s="170"/>
      <c r="DR17" s="207"/>
      <c r="DS17" s="170"/>
      <c r="DW17" s="207"/>
      <c r="DX17" s="170"/>
      <c r="EB17" s="207"/>
      <c r="EC17" s="170"/>
      <c r="EG17" s="207"/>
      <c r="EH17" s="170"/>
      <c r="EL17" s="207"/>
      <c r="EM17" s="170"/>
      <c r="EQ17" s="207"/>
      <c r="ER17" s="170"/>
      <c r="EV17" s="207"/>
      <c r="EW17" s="170"/>
      <c r="FA17" s="207"/>
      <c r="FB17" s="170"/>
      <c r="FF17" s="207"/>
      <c r="FG17" s="170"/>
      <c r="FK17" s="207"/>
      <c r="FL17" s="170"/>
      <c r="FP17" s="207"/>
      <c r="FQ17" s="170"/>
      <c r="FU17" s="207"/>
      <c r="FV17" s="170"/>
      <c r="FZ17" s="207"/>
      <c r="GA17" s="170"/>
    </row>
    <row r="18" spans="1:184" ht="15">
      <c r="A18" s="62">
        <v>2017</v>
      </c>
      <c r="B18" s="63" t="s">
        <v>22</v>
      </c>
      <c r="C18" s="63" t="s">
        <v>23</v>
      </c>
      <c r="D18" s="63" t="s">
        <v>24</v>
      </c>
      <c r="F18" s="62">
        <v>2017</v>
      </c>
      <c r="G18" s="63" t="s">
        <v>22</v>
      </c>
      <c r="H18" s="63" t="s">
        <v>23</v>
      </c>
      <c r="I18" s="63" t="s">
        <v>24</v>
      </c>
      <c r="K18" s="62">
        <v>2017</v>
      </c>
      <c r="L18" s="63" t="s">
        <v>22</v>
      </c>
      <c r="M18" s="63" t="s">
        <v>23</v>
      </c>
      <c r="N18" s="63" t="s">
        <v>24</v>
      </c>
      <c r="P18" s="62">
        <v>2017</v>
      </c>
      <c r="Q18" s="63" t="s">
        <v>22</v>
      </c>
      <c r="R18" s="63" t="s">
        <v>23</v>
      </c>
      <c r="S18" s="63" t="s">
        <v>24</v>
      </c>
      <c r="U18" s="62">
        <v>2017</v>
      </c>
      <c r="V18" s="63" t="s">
        <v>22</v>
      </c>
      <c r="W18" s="63" t="s">
        <v>23</v>
      </c>
      <c r="X18" s="63" t="s">
        <v>24</v>
      </c>
      <c r="Z18" s="62">
        <v>2017</v>
      </c>
      <c r="AA18" s="63" t="s">
        <v>22</v>
      </c>
      <c r="AB18" s="63" t="s">
        <v>23</v>
      </c>
      <c r="AC18" s="63" t="s">
        <v>24</v>
      </c>
      <c r="AE18" s="62">
        <v>2017</v>
      </c>
      <c r="AF18" s="63" t="s">
        <v>22</v>
      </c>
      <c r="AG18" s="63" t="s">
        <v>23</v>
      </c>
      <c r="AH18" s="63" t="s">
        <v>24</v>
      </c>
      <c r="AJ18" s="62">
        <v>2017</v>
      </c>
      <c r="AK18" s="63" t="s">
        <v>22</v>
      </c>
      <c r="AL18" s="63" t="s">
        <v>23</v>
      </c>
      <c r="AM18" s="63" t="s">
        <v>24</v>
      </c>
      <c r="AO18" s="62">
        <v>2017</v>
      </c>
      <c r="AP18" s="63" t="s">
        <v>22</v>
      </c>
      <c r="AQ18" s="63" t="s">
        <v>23</v>
      </c>
      <c r="AR18" s="63" t="s">
        <v>24</v>
      </c>
      <c r="AT18" s="62">
        <v>2017</v>
      </c>
      <c r="AU18" s="63" t="s">
        <v>22</v>
      </c>
      <c r="AV18" s="63" t="s">
        <v>23</v>
      </c>
      <c r="AW18" s="63" t="s">
        <v>24</v>
      </c>
      <c r="AY18" s="62">
        <v>2017</v>
      </c>
      <c r="AZ18" s="63" t="s">
        <v>22</v>
      </c>
      <c r="BA18" s="63" t="s">
        <v>23</v>
      </c>
      <c r="BB18" s="63" t="s">
        <v>24</v>
      </c>
      <c r="BD18" s="62">
        <v>2017</v>
      </c>
      <c r="BE18" s="63" t="s">
        <v>22</v>
      </c>
      <c r="BF18" s="63" t="s">
        <v>23</v>
      </c>
      <c r="BG18" s="63" t="s">
        <v>24</v>
      </c>
      <c r="BI18" s="62">
        <v>2017</v>
      </c>
      <c r="BJ18" s="63" t="s">
        <v>22</v>
      </c>
      <c r="BK18" s="63" t="s">
        <v>23</v>
      </c>
      <c r="BL18" s="63" t="s">
        <v>24</v>
      </c>
      <c r="BN18" s="62">
        <v>2017</v>
      </c>
      <c r="BO18" s="63" t="s">
        <v>22</v>
      </c>
      <c r="BP18" s="63" t="s">
        <v>23</v>
      </c>
      <c r="BQ18" s="63" t="s">
        <v>24</v>
      </c>
      <c r="BS18" s="62">
        <v>2017</v>
      </c>
      <c r="BT18" s="63" t="s">
        <v>22</v>
      </c>
      <c r="BU18" s="63" t="s">
        <v>23</v>
      </c>
      <c r="BV18" s="63" t="s">
        <v>24</v>
      </c>
      <c r="BX18" s="62">
        <v>2017</v>
      </c>
      <c r="BY18" s="63" t="s">
        <v>22</v>
      </c>
      <c r="BZ18" s="63" t="s">
        <v>23</v>
      </c>
      <c r="CA18" s="63" t="s">
        <v>24</v>
      </c>
      <c r="CB18" s="30"/>
      <c r="CC18" s="62">
        <v>2017</v>
      </c>
      <c r="CD18" s="63" t="s">
        <v>22</v>
      </c>
      <c r="CE18" s="63" t="s">
        <v>23</v>
      </c>
      <c r="CF18" s="63" t="s">
        <v>24</v>
      </c>
      <c r="CG18" s="30"/>
      <c r="CH18" s="62">
        <v>2017</v>
      </c>
      <c r="CI18" s="63" t="s">
        <v>22</v>
      </c>
      <c r="CJ18" s="63" t="s">
        <v>23</v>
      </c>
      <c r="CK18" s="63" t="s">
        <v>24</v>
      </c>
      <c r="CL18" s="30"/>
      <c r="CM18" s="62">
        <v>2017</v>
      </c>
      <c r="CN18" s="63" t="s">
        <v>22</v>
      </c>
      <c r="CO18" s="63" t="s">
        <v>23</v>
      </c>
      <c r="CP18" s="63" t="s">
        <v>24</v>
      </c>
      <c r="CR18" s="62">
        <v>2017</v>
      </c>
      <c r="CS18" s="63" t="s">
        <v>22</v>
      </c>
      <c r="CT18" s="63" t="s">
        <v>23</v>
      </c>
      <c r="CU18" s="63" t="s">
        <v>24</v>
      </c>
      <c r="CW18" s="62">
        <v>2017</v>
      </c>
      <c r="CX18" s="63" t="s">
        <v>22</v>
      </c>
      <c r="CY18" s="63" t="s">
        <v>23</v>
      </c>
      <c r="CZ18" s="63" t="s">
        <v>24</v>
      </c>
      <c r="DB18" s="62">
        <v>2017</v>
      </c>
      <c r="DC18" s="63" t="s">
        <v>22</v>
      </c>
      <c r="DD18" s="63" t="s">
        <v>23</v>
      </c>
      <c r="DE18" s="63" t="s">
        <v>24</v>
      </c>
      <c r="DG18" s="62">
        <v>2017</v>
      </c>
      <c r="DH18" s="63" t="s">
        <v>22</v>
      </c>
      <c r="DI18" s="63" t="s">
        <v>23</v>
      </c>
      <c r="DJ18" s="63" t="s">
        <v>24</v>
      </c>
      <c r="DL18" s="62">
        <v>2017</v>
      </c>
      <c r="DM18" s="63" t="s">
        <v>22</v>
      </c>
      <c r="DN18" s="63" t="s">
        <v>23</v>
      </c>
      <c r="DO18" s="63" t="s">
        <v>24</v>
      </c>
      <c r="DQ18" s="62">
        <v>2017</v>
      </c>
      <c r="DR18" s="63" t="s">
        <v>22</v>
      </c>
      <c r="DS18" s="63" t="s">
        <v>23</v>
      </c>
      <c r="DT18" s="63" t="s">
        <v>24</v>
      </c>
      <c r="DV18" s="62">
        <v>2017</v>
      </c>
      <c r="DW18" s="63" t="s">
        <v>22</v>
      </c>
      <c r="DX18" s="63" t="s">
        <v>23</v>
      </c>
      <c r="DY18" s="63" t="s">
        <v>24</v>
      </c>
      <c r="EA18" s="62">
        <v>2017</v>
      </c>
      <c r="EB18" s="63" t="s">
        <v>22</v>
      </c>
      <c r="EC18" s="63" t="s">
        <v>23</v>
      </c>
      <c r="ED18" s="63" t="s">
        <v>24</v>
      </c>
      <c r="EF18" s="62">
        <v>2017</v>
      </c>
      <c r="EG18" s="63" t="s">
        <v>22</v>
      </c>
      <c r="EH18" s="63" t="s">
        <v>23</v>
      </c>
      <c r="EI18" s="63" t="s">
        <v>24</v>
      </c>
      <c r="EK18" s="62">
        <v>2017</v>
      </c>
      <c r="EL18" s="63" t="s">
        <v>22</v>
      </c>
      <c r="EM18" s="63" t="s">
        <v>23</v>
      </c>
      <c r="EN18" s="63" t="s">
        <v>24</v>
      </c>
      <c r="EP18" s="62">
        <v>2017</v>
      </c>
      <c r="EQ18" s="63" t="s">
        <v>22</v>
      </c>
      <c r="ER18" s="63" t="s">
        <v>23</v>
      </c>
      <c r="ES18" s="63" t="s">
        <v>24</v>
      </c>
      <c r="EU18" s="62">
        <v>2017</v>
      </c>
      <c r="EV18" s="63" t="s">
        <v>22</v>
      </c>
      <c r="EW18" s="63" t="s">
        <v>23</v>
      </c>
      <c r="EX18" s="63" t="s">
        <v>24</v>
      </c>
      <c r="EZ18" s="62">
        <v>2017</v>
      </c>
      <c r="FA18" s="63" t="s">
        <v>22</v>
      </c>
      <c r="FB18" s="63" t="s">
        <v>23</v>
      </c>
      <c r="FC18" s="63" t="s">
        <v>24</v>
      </c>
      <c r="FE18" s="62">
        <v>2017</v>
      </c>
      <c r="FF18" s="63" t="s">
        <v>22</v>
      </c>
      <c r="FG18" s="63" t="s">
        <v>23</v>
      </c>
      <c r="FH18" s="63" t="s">
        <v>24</v>
      </c>
      <c r="FJ18" s="62">
        <v>2017</v>
      </c>
      <c r="FK18" s="63" t="s">
        <v>22</v>
      </c>
      <c r="FL18" s="63" t="s">
        <v>23</v>
      </c>
      <c r="FM18" s="63" t="s">
        <v>24</v>
      </c>
      <c r="FO18" s="62">
        <v>2017</v>
      </c>
      <c r="FP18" s="63" t="s">
        <v>22</v>
      </c>
      <c r="FQ18" s="63" t="s">
        <v>23</v>
      </c>
      <c r="FR18" s="63" t="s">
        <v>24</v>
      </c>
      <c r="FT18" s="62">
        <v>2017</v>
      </c>
      <c r="FU18" s="63" t="s">
        <v>22</v>
      </c>
      <c r="FV18" s="63" t="s">
        <v>23</v>
      </c>
      <c r="FW18" s="63" t="s">
        <v>24</v>
      </c>
      <c r="FY18" s="62">
        <v>2017</v>
      </c>
      <c r="FZ18" s="63" t="s">
        <v>22</v>
      </c>
      <c r="GA18" s="63" t="s">
        <v>23</v>
      </c>
      <c r="GB18" s="63" t="s">
        <v>24</v>
      </c>
    </row>
    <row r="19" spans="1:184" ht="15">
      <c r="A19" s="43" t="s">
        <v>25</v>
      </c>
      <c r="B19" s="142">
        <v>149018</v>
      </c>
      <c r="C19" s="118">
        <v>99371</v>
      </c>
      <c r="D19" s="143">
        <v>202070</v>
      </c>
      <c r="F19" s="43" t="s">
        <v>25</v>
      </c>
      <c r="G19" s="142">
        <v>340631</v>
      </c>
      <c r="H19" s="118">
        <v>233545</v>
      </c>
      <c r="I19" s="143">
        <v>501850</v>
      </c>
      <c r="K19" s="43" t="s">
        <v>25</v>
      </c>
      <c r="L19" s="142">
        <v>294894</v>
      </c>
      <c r="M19" s="118">
        <v>170876</v>
      </c>
      <c r="N19" s="143">
        <v>323626</v>
      </c>
      <c r="P19" s="43" t="s">
        <v>25</v>
      </c>
      <c r="Q19" s="142">
        <v>15004</v>
      </c>
      <c r="R19" s="118">
        <v>11821</v>
      </c>
      <c r="S19" s="143">
        <v>27339</v>
      </c>
      <c r="U19" s="43" t="s">
        <v>25</v>
      </c>
      <c r="V19" s="142">
        <v>1117</v>
      </c>
      <c r="W19" s="118">
        <v>479</v>
      </c>
      <c r="X19" s="143">
        <v>718</v>
      </c>
      <c r="Z19" s="43" t="s">
        <v>25</v>
      </c>
      <c r="AA19" s="142">
        <v>2043</v>
      </c>
      <c r="AB19" s="118">
        <v>1303</v>
      </c>
      <c r="AC19" s="143">
        <v>2673</v>
      </c>
      <c r="AE19" s="43" t="s">
        <v>25</v>
      </c>
      <c r="AF19" s="142">
        <v>12379</v>
      </c>
      <c r="AG19" s="118">
        <v>13983</v>
      </c>
      <c r="AH19" s="143">
        <v>30048</v>
      </c>
      <c r="AJ19" s="43" t="s">
        <v>25</v>
      </c>
      <c r="AK19" s="142">
        <v>1218</v>
      </c>
      <c r="AL19" s="118">
        <v>2698</v>
      </c>
      <c r="AM19" s="143">
        <v>6256</v>
      </c>
      <c r="AO19" s="43" t="s">
        <v>25</v>
      </c>
      <c r="AP19" s="142">
        <v>3053</v>
      </c>
      <c r="AQ19" s="118">
        <v>7296</v>
      </c>
      <c r="AR19" s="143">
        <v>16719</v>
      </c>
      <c r="AT19" s="43" t="s">
        <v>25</v>
      </c>
      <c r="AU19" s="142">
        <v>4673</v>
      </c>
      <c r="AV19" s="118">
        <v>3659</v>
      </c>
      <c r="AW19" s="143">
        <v>7889</v>
      </c>
      <c r="AY19" s="43" t="s">
        <v>25</v>
      </c>
      <c r="AZ19" s="142">
        <v>2710</v>
      </c>
      <c r="BA19" s="118">
        <v>7342</v>
      </c>
      <c r="BB19" s="143">
        <v>16751</v>
      </c>
      <c r="BD19" s="43" t="s">
        <v>25</v>
      </c>
      <c r="BE19" s="142">
        <v>4228</v>
      </c>
      <c r="BF19" s="118">
        <v>2475</v>
      </c>
      <c r="BG19" s="143">
        <v>3589</v>
      </c>
      <c r="BI19" s="43" t="s">
        <v>25</v>
      </c>
      <c r="BJ19" s="142">
        <v>13321</v>
      </c>
      <c r="BK19" s="118">
        <v>7615</v>
      </c>
      <c r="BL19" s="143">
        <v>15744</v>
      </c>
      <c r="BN19" s="43" t="s">
        <v>25</v>
      </c>
      <c r="BO19" s="142">
        <v>2062</v>
      </c>
      <c r="BP19" s="118">
        <v>714</v>
      </c>
      <c r="BQ19" s="143">
        <v>1295</v>
      </c>
      <c r="BS19" s="43" t="s">
        <v>25</v>
      </c>
      <c r="BT19" s="142">
        <v>603</v>
      </c>
      <c r="BU19" s="118">
        <v>493</v>
      </c>
      <c r="BV19" s="143">
        <v>942</v>
      </c>
      <c r="BX19" s="43" t="s">
        <v>25</v>
      </c>
      <c r="BY19" s="142">
        <v>39008</v>
      </c>
      <c r="BZ19" s="118">
        <v>34823</v>
      </c>
      <c r="CA19" s="143">
        <v>91155</v>
      </c>
      <c r="CB19" s="30"/>
      <c r="CC19" s="43" t="s">
        <v>25</v>
      </c>
      <c r="CD19" s="142">
        <v>1530</v>
      </c>
      <c r="CE19" s="118">
        <v>3036</v>
      </c>
      <c r="CF19" s="143">
        <v>9720</v>
      </c>
      <c r="CG19" s="30"/>
      <c r="CH19" s="43" t="s">
        <v>25</v>
      </c>
      <c r="CI19" s="142">
        <v>92</v>
      </c>
      <c r="CJ19" s="118">
        <v>46</v>
      </c>
      <c r="CK19" s="143">
        <v>85</v>
      </c>
      <c r="CL19" s="30"/>
      <c r="CM19" s="43" t="s">
        <v>25</v>
      </c>
      <c r="CN19" s="142">
        <v>41</v>
      </c>
      <c r="CO19" s="118">
        <v>29</v>
      </c>
      <c r="CP19" s="143">
        <v>58</v>
      </c>
      <c r="CR19" s="43" t="s">
        <v>25</v>
      </c>
      <c r="CS19" s="142">
        <v>108</v>
      </c>
      <c r="CT19" s="118">
        <v>41</v>
      </c>
      <c r="CU19" s="143">
        <v>82</v>
      </c>
      <c r="CW19" s="43" t="s">
        <v>25</v>
      </c>
      <c r="CX19" s="142">
        <v>69</v>
      </c>
      <c r="CY19" s="118">
        <v>53</v>
      </c>
      <c r="CZ19" s="143">
        <v>63</v>
      </c>
      <c r="DB19" s="43" t="s">
        <v>25</v>
      </c>
      <c r="DC19" s="142">
        <v>1793</v>
      </c>
      <c r="DD19" s="118">
        <v>1305</v>
      </c>
      <c r="DE19" s="143">
        <v>2612</v>
      </c>
      <c r="DG19" s="43" t="s">
        <v>25</v>
      </c>
      <c r="DH19" s="142">
        <v>1336</v>
      </c>
      <c r="DI19" s="118">
        <v>2204</v>
      </c>
      <c r="DJ19" s="143">
        <v>5635</v>
      </c>
      <c r="DL19" s="43" t="s">
        <v>25</v>
      </c>
      <c r="DM19" s="142">
        <v>837</v>
      </c>
      <c r="DN19" s="118">
        <v>602</v>
      </c>
      <c r="DO19" s="143">
        <v>1060</v>
      </c>
      <c r="DQ19" s="43" t="s">
        <v>25</v>
      </c>
      <c r="DR19" s="142">
        <v>11756</v>
      </c>
      <c r="DS19" s="118">
        <v>10205</v>
      </c>
      <c r="DT19" s="143">
        <v>21518</v>
      </c>
      <c r="DV19" s="43" t="s">
        <v>25</v>
      </c>
      <c r="DW19" s="142">
        <v>25796</v>
      </c>
      <c r="DX19" s="118">
        <v>18575</v>
      </c>
      <c r="DY19" s="143">
        <v>34731</v>
      </c>
      <c r="EA19" s="43" t="s">
        <v>25</v>
      </c>
      <c r="EB19" s="142">
        <v>7505</v>
      </c>
      <c r="EC19" s="118">
        <v>6833</v>
      </c>
      <c r="ED19" s="143">
        <v>16659</v>
      </c>
      <c r="EF19" s="43" t="s">
        <v>25</v>
      </c>
      <c r="EG19" s="142">
        <v>10657</v>
      </c>
      <c r="EH19" s="118">
        <v>5937</v>
      </c>
      <c r="EI19" s="143">
        <v>14395</v>
      </c>
      <c r="EK19" s="43" t="s">
        <v>25</v>
      </c>
      <c r="EL19" s="142">
        <v>3439</v>
      </c>
      <c r="EM19" s="118">
        <v>3693</v>
      </c>
      <c r="EN19" s="143">
        <v>12998</v>
      </c>
      <c r="EP19" s="43" t="s">
        <v>25</v>
      </c>
      <c r="EQ19" s="142">
        <v>9217</v>
      </c>
      <c r="ER19" s="118">
        <v>6731</v>
      </c>
      <c r="ES19" s="143">
        <v>15338</v>
      </c>
      <c r="EU19" s="43" t="s">
        <v>25</v>
      </c>
      <c r="EV19" s="142">
        <v>6379</v>
      </c>
      <c r="EW19" s="118">
        <v>6376</v>
      </c>
      <c r="EX19" s="143">
        <v>15970</v>
      </c>
      <c r="EZ19" s="43" t="s">
        <v>25</v>
      </c>
      <c r="FA19" s="142">
        <v>4974</v>
      </c>
      <c r="FB19" s="118">
        <v>3346</v>
      </c>
      <c r="FC19" s="143">
        <v>9871</v>
      </c>
      <c r="FE19" s="43" t="s">
        <v>25</v>
      </c>
      <c r="FF19" s="142">
        <v>1178</v>
      </c>
      <c r="FG19" s="118">
        <v>714</v>
      </c>
      <c r="FH19" s="143">
        <v>2597</v>
      </c>
      <c r="FJ19" s="43" t="s">
        <v>25</v>
      </c>
      <c r="FK19" s="142">
        <v>36</v>
      </c>
      <c r="FL19" s="118">
        <v>42</v>
      </c>
      <c r="FM19" s="143">
        <v>236</v>
      </c>
      <c r="FO19" s="43" t="s">
        <v>25</v>
      </c>
      <c r="FP19" s="142">
        <v>72344</v>
      </c>
      <c r="FQ19" s="118">
        <v>44312</v>
      </c>
      <c r="FR19" s="143">
        <v>109590</v>
      </c>
      <c r="FT19" s="43" t="s">
        <v>25</v>
      </c>
      <c r="FU19" s="142">
        <v>5993</v>
      </c>
      <c r="FV19" s="118">
        <v>3688</v>
      </c>
      <c r="FW19" s="143">
        <v>6564</v>
      </c>
      <c r="FY19" s="43" t="s">
        <v>25</v>
      </c>
      <c r="FZ19" s="142">
        <v>1712</v>
      </c>
      <c r="GA19" s="118">
        <v>1497</v>
      </c>
      <c r="GB19" s="143">
        <v>3019</v>
      </c>
    </row>
    <row r="20" spans="1:184" ht="15">
      <c r="A20" s="43" t="s">
        <v>26</v>
      </c>
      <c r="B20" s="142">
        <v>154585</v>
      </c>
      <c r="C20" s="118">
        <v>111398</v>
      </c>
      <c r="D20" s="143">
        <v>195128</v>
      </c>
      <c r="F20" s="43" t="s">
        <v>26</v>
      </c>
      <c r="G20" s="142">
        <v>336482</v>
      </c>
      <c r="H20" s="118">
        <v>284674</v>
      </c>
      <c r="I20" s="143">
        <v>499259</v>
      </c>
      <c r="K20" s="43" t="s">
        <v>26</v>
      </c>
      <c r="L20" s="142">
        <v>296513</v>
      </c>
      <c r="M20" s="118">
        <v>175095</v>
      </c>
      <c r="N20" s="143">
        <v>285610</v>
      </c>
      <c r="P20" s="43" t="s">
        <v>26</v>
      </c>
      <c r="Q20" s="142">
        <v>12358</v>
      </c>
      <c r="R20" s="118">
        <v>10306</v>
      </c>
      <c r="S20" s="143">
        <v>22535</v>
      </c>
      <c r="U20" s="43" t="s">
        <v>26</v>
      </c>
      <c r="V20" s="142">
        <v>488</v>
      </c>
      <c r="W20" s="118">
        <v>315</v>
      </c>
      <c r="X20" s="143">
        <v>688</v>
      </c>
      <c r="Z20" s="43" t="s">
        <v>26</v>
      </c>
      <c r="AA20" s="142">
        <v>4462</v>
      </c>
      <c r="AB20" s="118">
        <v>2168</v>
      </c>
      <c r="AC20" s="143">
        <v>3607</v>
      </c>
      <c r="AE20" s="43" t="s">
        <v>26</v>
      </c>
      <c r="AF20" s="142">
        <v>9760</v>
      </c>
      <c r="AG20" s="118">
        <v>12424</v>
      </c>
      <c r="AH20" s="143">
        <v>25187</v>
      </c>
      <c r="AJ20" s="43" t="s">
        <v>26</v>
      </c>
      <c r="AK20" s="142">
        <v>1054</v>
      </c>
      <c r="AL20" s="118">
        <v>2433</v>
      </c>
      <c r="AM20" s="143">
        <v>5266</v>
      </c>
      <c r="AO20" s="43" t="s">
        <v>26</v>
      </c>
      <c r="AP20" s="142">
        <v>1951</v>
      </c>
      <c r="AQ20" s="118">
        <v>6052</v>
      </c>
      <c r="AR20" s="143">
        <v>14672</v>
      </c>
      <c r="AT20" s="43" t="s">
        <v>26</v>
      </c>
      <c r="AU20" s="142">
        <v>2155</v>
      </c>
      <c r="AV20" s="118">
        <v>3174</v>
      </c>
      <c r="AW20" s="143">
        <v>6381</v>
      </c>
      <c r="AY20" s="43" t="s">
        <v>26</v>
      </c>
      <c r="AZ20" s="142">
        <v>1756</v>
      </c>
      <c r="BA20" s="118">
        <v>6370</v>
      </c>
      <c r="BB20" s="143">
        <v>15616</v>
      </c>
      <c r="BD20" s="43" t="s">
        <v>26</v>
      </c>
      <c r="BE20" s="142">
        <v>3236</v>
      </c>
      <c r="BF20" s="118">
        <v>1912</v>
      </c>
      <c r="BG20" s="143">
        <v>2129</v>
      </c>
      <c r="BI20" s="43" t="s">
        <v>26</v>
      </c>
      <c r="BJ20" s="142">
        <v>12292</v>
      </c>
      <c r="BK20" s="118">
        <v>7235</v>
      </c>
      <c r="BL20" s="143">
        <v>13007</v>
      </c>
      <c r="BN20" s="43" t="s">
        <v>26</v>
      </c>
      <c r="BO20" s="142">
        <v>390</v>
      </c>
      <c r="BP20" s="118">
        <v>115</v>
      </c>
      <c r="BQ20" s="143">
        <v>182</v>
      </c>
      <c r="BS20" s="43" t="s">
        <v>26</v>
      </c>
      <c r="BT20" s="142">
        <v>419</v>
      </c>
      <c r="BU20" s="118">
        <v>343</v>
      </c>
      <c r="BV20" s="143">
        <v>654</v>
      </c>
      <c r="BX20" s="43" t="s">
        <v>26</v>
      </c>
      <c r="BY20" s="142">
        <v>31916</v>
      </c>
      <c r="BZ20" s="118">
        <v>29329</v>
      </c>
      <c r="CA20" s="143">
        <v>71712</v>
      </c>
      <c r="CB20" s="30"/>
      <c r="CC20" s="43" t="s">
        <v>26</v>
      </c>
      <c r="CD20" s="142">
        <v>1202</v>
      </c>
      <c r="CE20" s="118">
        <v>2823</v>
      </c>
      <c r="CF20" s="143">
        <v>8673</v>
      </c>
      <c r="CG20" s="30"/>
      <c r="CH20" s="43" t="s">
        <v>26</v>
      </c>
      <c r="CI20" s="142">
        <v>154</v>
      </c>
      <c r="CJ20" s="118">
        <v>64</v>
      </c>
      <c r="CK20" s="143">
        <v>100</v>
      </c>
      <c r="CL20" s="30"/>
      <c r="CM20" s="43" t="s">
        <v>26</v>
      </c>
      <c r="CN20" s="142">
        <v>38</v>
      </c>
      <c r="CO20" s="118">
        <v>27</v>
      </c>
      <c r="CP20" s="143">
        <v>48</v>
      </c>
      <c r="CR20" s="43" t="s">
        <v>26</v>
      </c>
      <c r="CS20" s="142">
        <v>99</v>
      </c>
      <c r="CT20" s="118">
        <v>44</v>
      </c>
      <c r="CU20" s="143">
        <v>76</v>
      </c>
      <c r="CW20" s="43" t="s">
        <v>26</v>
      </c>
      <c r="CX20" s="142">
        <v>63</v>
      </c>
      <c r="CY20" s="118">
        <v>48</v>
      </c>
      <c r="CZ20" s="143">
        <v>57</v>
      </c>
      <c r="DB20" s="43" t="s">
        <v>26</v>
      </c>
      <c r="DC20" s="142">
        <v>1208</v>
      </c>
      <c r="DD20" s="118">
        <v>902</v>
      </c>
      <c r="DE20" s="143">
        <v>1607</v>
      </c>
      <c r="DG20" s="43" t="s">
        <v>26</v>
      </c>
      <c r="DH20" s="142">
        <v>998</v>
      </c>
      <c r="DI20" s="118">
        <v>1919</v>
      </c>
      <c r="DJ20" s="143">
        <v>4838</v>
      </c>
      <c r="DL20" s="43" t="s">
        <v>26</v>
      </c>
      <c r="DM20" s="142">
        <v>848</v>
      </c>
      <c r="DN20" s="118">
        <v>632</v>
      </c>
      <c r="DO20" s="143">
        <v>1153</v>
      </c>
      <c r="DQ20" s="43" t="s">
        <v>26</v>
      </c>
      <c r="DR20" s="142">
        <v>12606</v>
      </c>
      <c r="DS20" s="118">
        <v>11015</v>
      </c>
      <c r="DT20" s="143">
        <v>19775</v>
      </c>
      <c r="DV20" s="43" t="s">
        <v>26</v>
      </c>
      <c r="DW20" s="142">
        <v>25311</v>
      </c>
      <c r="DX20" s="118">
        <v>18468</v>
      </c>
      <c r="DY20" s="143">
        <v>29617</v>
      </c>
      <c r="EA20" s="43" t="s">
        <v>26</v>
      </c>
      <c r="EB20" s="142">
        <v>6674</v>
      </c>
      <c r="EC20" s="118">
        <v>6070</v>
      </c>
      <c r="ED20" s="143">
        <v>13881</v>
      </c>
      <c r="EF20" s="43" t="s">
        <v>26</v>
      </c>
      <c r="EG20" s="142">
        <v>10194</v>
      </c>
      <c r="EH20" s="118">
        <v>5526</v>
      </c>
      <c r="EI20" s="143">
        <v>12481</v>
      </c>
      <c r="EK20" s="43" t="s">
        <v>26</v>
      </c>
      <c r="EL20" s="142">
        <v>3002</v>
      </c>
      <c r="EM20" s="118">
        <v>3356</v>
      </c>
      <c r="EN20" s="143">
        <v>11921</v>
      </c>
      <c r="EP20" s="43" t="s">
        <v>26</v>
      </c>
      <c r="EQ20" s="142">
        <v>8362</v>
      </c>
      <c r="ER20" s="118">
        <v>6293</v>
      </c>
      <c r="ES20" s="143">
        <v>13114</v>
      </c>
      <c r="EU20" s="43" t="s">
        <v>26</v>
      </c>
      <c r="EV20" s="142">
        <v>5652</v>
      </c>
      <c r="EW20" s="118">
        <v>5865</v>
      </c>
      <c r="EX20" s="143">
        <v>13704</v>
      </c>
      <c r="EZ20" s="43" t="s">
        <v>26</v>
      </c>
      <c r="FA20" s="142">
        <v>4554</v>
      </c>
      <c r="FB20" s="118">
        <v>3055</v>
      </c>
      <c r="FC20" s="143">
        <v>8932</v>
      </c>
      <c r="FE20" s="43" t="s">
        <v>26</v>
      </c>
      <c r="FF20" s="142">
        <v>1090</v>
      </c>
      <c r="FG20" s="118">
        <v>587</v>
      </c>
      <c r="FH20" s="143">
        <v>2271</v>
      </c>
      <c r="FJ20" s="43" t="s">
        <v>26</v>
      </c>
      <c r="FK20" s="142">
        <v>62</v>
      </c>
      <c r="FL20" s="118">
        <v>53</v>
      </c>
      <c r="FM20" s="143">
        <v>236</v>
      </c>
      <c r="FO20" s="43" t="s">
        <v>26</v>
      </c>
      <c r="FP20" s="142">
        <v>78449</v>
      </c>
      <c r="FQ20" s="118">
        <v>43492</v>
      </c>
      <c r="FR20" s="143">
        <v>95915</v>
      </c>
      <c r="FT20" s="43" t="s">
        <v>26</v>
      </c>
      <c r="FU20" s="142">
        <v>7355</v>
      </c>
      <c r="FV20" s="118">
        <v>4759</v>
      </c>
      <c r="FW20" s="143">
        <v>7484</v>
      </c>
      <c r="FY20" s="43" t="s">
        <v>26</v>
      </c>
      <c r="FZ20" s="142">
        <v>1306</v>
      </c>
      <c r="GA20" s="118">
        <v>1195</v>
      </c>
      <c r="GB20" s="143">
        <v>2175</v>
      </c>
    </row>
    <row r="21" spans="1:184" ht="15">
      <c r="A21" s="43" t="s">
        <v>27</v>
      </c>
      <c r="B21" s="142">
        <v>186901</v>
      </c>
      <c r="C21" s="118">
        <v>125420</v>
      </c>
      <c r="D21" s="143">
        <v>217310</v>
      </c>
      <c r="F21" s="43" t="s">
        <v>27</v>
      </c>
      <c r="G21" s="142">
        <v>243877</v>
      </c>
      <c r="H21" s="118">
        <v>294063</v>
      </c>
      <c r="I21" s="143">
        <v>536284</v>
      </c>
      <c r="K21" s="43" t="s">
        <v>27</v>
      </c>
      <c r="L21" s="142">
        <v>348930</v>
      </c>
      <c r="M21" s="118">
        <v>199379</v>
      </c>
      <c r="N21" s="143">
        <v>311887</v>
      </c>
      <c r="P21" s="43" t="s">
        <v>27</v>
      </c>
      <c r="Q21" s="142">
        <v>16387</v>
      </c>
      <c r="R21" s="118">
        <v>12297</v>
      </c>
      <c r="S21" s="143">
        <v>26153</v>
      </c>
      <c r="U21" s="43" t="s">
        <v>27</v>
      </c>
      <c r="V21" s="142">
        <v>336</v>
      </c>
      <c r="W21" s="118">
        <v>546</v>
      </c>
      <c r="X21" s="143">
        <v>1374</v>
      </c>
      <c r="Z21" s="43" t="s">
        <v>27</v>
      </c>
      <c r="AA21" s="142">
        <v>4369</v>
      </c>
      <c r="AB21" s="118">
        <v>2187</v>
      </c>
      <c r="AC21" s="143">
        <v>3982</v>
      </c>
      <c r="AE21" s="43" t="s">
        <v>27</v>
      </c>
      <c r="AF21" s="142">
        <v>7469</v>
      </c>
      <c r="AG21" s="118">
        <v>8891</v>
      </c>
      <c r="AH21" s="143">
        <v>18501</v>
      </c>
      <c r="AJ21" s="43" t="s">
        <v>27</v>
      </c>
      <c r="AK21" s="142">
        <v>524</v>
      </c>
      <c r="AL21" s="118">
        <v>2310</v>
      </c>
      <c r="AM21" s="143">
        <v>5354</v>
      </c>
      <c r="AO21" s="43" t="s">
        <v>27</v>
      </c>
      <c r="AP21" s="142">
        <v>1182</v>
      </c>
      <c r="AQ21" s="118">
        <v>6042</v>
      </c>
      <c r="AR21" s="143">
        <v>13994</v>
      </c>
      <c r="AT21" s="43" t="s">
        <v>27</v>
      </c>
      <c r="AU21" s="142">
        <v>1321</v>
      </c>
      <c r="AV21" s="118">
        <v>2925</v>
      </c>
      <c r="AW21" s="143">
        <v>6420</v>
      </c>
      <c r="AY21" s="43" t="s">
        <v>27</v>
      </c>
      <c r="AZ21" s="142">
        <v>1091</v>
      </c>
      <c r="BA21" s="118">
        <v>6092</v>
      </c>
      <c r="BB21" s="143">
        <v>14485</v>
      </c>
      <c r="BD21" s="43" t="s">
        <v>27</v>
      </c>
      <c r="BE21" s="142">
        <v>2493</v>
      </c>
      <c r="BF21" s="118">
        <v>1523</v>
      </c>
      <c r="BG21" s="143">
        <v>1693</v>
      </c>
      <c r="BI21" s="43" t="s">
        <v>27</v>
      </c>
      <c r="BJ21" s="142">
        <v>11056</v>
      </c>
      <c r="BK21" s="118">
        <v>6979</v>
      </c>
      <c r="BL21" s="143">
        <v>12247</v>
      </c>
      <c r="BN21" s="43" t="s">
        <v>27</v>
      </c>
      <c r="BO21" s="142">
        <v>561</v>
      </c>
      <c r="BP21" s="118">
        <v>212</v>
      </c>
      <c r="BQ21" s="143">
        <v>373</v>
      </c>
      <c r="BS21" s="43" t="s">
        <v>27</v>
      </c>
      <c r="BT21" s="142">
        <v>69</v>
      </c>
      <c r="BU21" s="118">
        <v>50</v>
      </c>
      <c r="BV21" s="143">
        <v>94</v>
      </c>
      <c r="BX21" s="43" t="s">
        <v>27</v>
      </c>
      <c r="BY21" s="142">
        <v>26213</v>
      </c>
      <c r="BZ21" s="118">
        <v>26650</v>
      </c>
      <c r="CA21" s="143">
        <v>73364</v>
      </c>
      <c r="CB21" s="30"/>
      <c r="CC21" s="43" t="s">
        <v>27</v>
      </c>
      <c r="CD21" s="142">
        <v>839</v>
      </c>
      <c r="CE21" s="118">
        <v>2834</v>
      </c>
      <c r="CF21" s="143">
        <v>9030</v>
      </c>
      <c r="CG21" s="30"/>
      <c r="CH21" s="43" t="s">
        <v>27</v>
      </c>
      <c r="CI21" s="142">
        <v>85</v>
      </c>
      <c r="CJ21" s="118">
        <v>46</v>
      </c>
      <c r="CK21" s="143">
        <v>83</v>
      </c>
      <c r="CL21" s="30"/>
      <c r="CM21" s="43" t="s">
        <v>27</v>
      </c>
      <c r="CN21" s="142">
        <v>45</v>
      </c>
      <c r="CO21" s="118">
        <v>30</v>
      </c>
      <c r="CP21" s="143">
        <v>52</v>
      </c>
      <c r="CR21" s="43" t="s">
        <v>27</v>
      </c>
      <c r="CS21" s="142">
        <v>110</v>
      </c>
      <c r="CT21" s="118">
        <v>52</v>
      </c>
      <c r="CU21" s="143">
        <v>82</v>
      </c>
      <c r="CW21" s="43" t="s">
        <v>27</v>
      </c>
      <c r="CX21" s="142">
        <v>69</v>
      </c>
      <c r="CY21" s="118">
        <v>53</v>
      </c>
      <c r="CZ21" s="143">
        <v>63</v>
      </c>
      <c r="DB21" s="43" t="s">
        <v>27</v>
      </c>
      <c r="DC21" s="142">
        <v>1348</v>
      </c>
      <c r="DD21" s="118">
        <v>919</v>
      </c>
      <c r="DE21" s="143">
        <v>1692</v>
      </c>
      <c r="DG21" s="43" t="s">
        <v>27</v>
      </c>
      <c r="DH21" s="142">
        <v>695</v>
      </c>
      <c r="DI21" s="118">
        <v>1878</v>
      </c>
      <c r="DJ21" s="143">
        <v>5080</v>
      </c>
      <c r="DL21" s="43" t="s">
        <v>27</v>
      </c>
      <c r="DM21" s="142">
        <v>124</v>
      </c>
      <c r="DN21" s="118">
        <v>80</v>
      </c>
      <c r="DO21" s="143">
        <v>179</v>
      </c>
      <c r="DQ21" s="43" t="s">
        <v>27</v>
      </c>
      <c r="DR21" s="142">
        <v>15982</v>
      </c>
      <c r="DS21" s="118">
        <v>13118</v>
      </c>
      <c r="DT21" s="143">
        <v>22816</v>
      </c>
      <c r="DV21" s="43" t="s">
        <v>27</v>
      </c>
      <c r="DW21" s="142">
        <v>34885</v>
      </c>
      <c r="DX21" s="118">
        <v>24817</v>
      </c>
      <c r="DY21" s="143">
        <v>40232</v>
      </c>
      <c r="EA21" s="43" t="s">
        <v>27</v>
      </c>
      <c r="EB21" s="142">
        <v>6784</v>
      </c>
      <c r="EC21" s="118">
        <v>5518</v>
      </c>
      <c r="ED21" s="143">
        <v>13681</v>
      </c>
      <c r="EF21" s="43" t="s">
        <v>27</v>
      </c>
      <c r="EG21" s="142">
        <v>10815</v>
      </c>
      <c r="EH21" s="118">
        <v>5590</v>
      </c>
      <c r="EI21" s="143">
        <v>12979</v>
      </c>
      <c r="EK21" s="43" t="s">
        <v>27</v>
      </c>
      <c r="EL21" s="142">
        <v>2629</v>
      </c>
      <c r="EM21" s="118">
        <v>2997</v>
      </c>
      <c r="EN21" s="143">
        <v>12643</v>
      </c>
      <c r="EP21" s="43" t="s">
        <v>27</v>
      </c>
      <c r="EQ21" s="142">
        <v>9072</v>
      </c>
      <c r="ER21" s="118">
        <v>6456</v>
      </c>
      <c r="ES21" s="143">
        <v>13886</v>
      </c>
      <c r="EU21" s="43" t="s">
        <v>27</v>
      </c>
      <c r="EV21" s="142">
        <v>5670</v>
      </c>
      <c r="EW21" s="118">
        <v>5758</v>
      </c>
      <c r="EX21" s="143">
        <v>14169</v>
      </c>
      <c r="EZ21" s="43" t="s">
        <v>27</v>
      </c>
      <c r="FA21" s="142">
        <v>4826</v>
      </c>
      <c r="FB21" s="118">
        <v>3031</v>
      </c>
      <c r="FC21" s="143">
        <v>9584</v>
      </c>
      <c r="FE21" s="43" t="s">
        <v>27</v>
      </c>
      <c r="FF21" s="142">
        <v>1054</v>
      </c>
      <c r="FG21" s="118">
        <v>521</v>
      </c>
      <c r="FH21" s="143">
        <v>2086</v>
      </c>
      <c r="FJ21" s="43" t="s">
        <v>27</v>
      </c>
      <c r="FK21" s="142">
        <v>51</v>
      </c>
      <c r="FL21" s="118">
        <v>46</v>
      </c>
      <c r="FM21" s="143">
        <v>236</v>
      </c>
      <c r="FO21" s="43" t="s">
        <v>27</v>
      </c>
      <c r="FP21" s="142">
        <v>87809</v>
      </c>
      <c r="FQ21" s="118">
        <v>44947</v>
      </c>
      <c r="FR21" s="143">
        <v>100268</v>
      </c>
      <c r="FT21" s="43" t="s">
        <v>27</v>
      </c>
      <c r="FU21" s="142">
        <v>9630</v>
      </c>
      <c r="FV21" s="118">
        <v>6169</v>
      </c>
      <c r="FW21" s="143">
        <v>9245</v>
      </c>
      <c r="FY21" s="43" t="s">
        <v>27</v>
      </c>
      <c r="FZ21" s="142">
        <v>1182</v>
      </c>
      <c r="GA21" s="118">
        <v>1089</v>
      </c>
      <c r="GB21" s="143">
        <v>2029.9999999999998</v>
      </c>
    </row>
    <row r="22" spans="1:184" ht="15">
      <c r="A22" s="43" t="s">
        <v>28</v>
      </c>
      <c r="B22" s="142">
        <v>155978</v>
      </c>
      <c r="C22" s="118">
        <v>126321</v>
      </c>
      <c r="D22" s="143">
        <v>246492</v>
      </c>
      <c r="F22" s="43" t="s">
        <v>28</v>
      </c>
      <c r="G22" s="142">
        <v>185630</v>
      </c>
      <c r="H22" s="118">
        <v>256498</v>
      </c>
      <c r="I22" s="143">
        <v>571884</v>
      </c>
      <c r="K22" s="43" t="s">
        <v>28</v>
      </c>
      <c r="L22" s="142">
        <v>286268</v>
      </c>
      <c r="M22" s="118">
        <v>200340</v>
      </c>
      <c r="N22" s="143">
        <v>362056</v>
      </c>
      <c r="P22" s="43" t="s">
        <v>28</v>
      </c>
      <c r="Q22" s="142">
        <v>11061</v>
      </c>
      <c r="R22" s="118">
        <v>9790</v>
      </c>
      <c r="S22" s="143">
        <v>25276</v>
      </c>
      <c r="U22" s="43" t="s">
        <v>28</v>
      </c>
      <c r="V22" s="142">
        <v>205</v>
      </c>
      <c r="W22" s="118">
        <v>400</v>
      </c>
      <c r="X22" s="143">
        <v>1387</v>
      </c>
      <c r="Z22" s="43" t="s">
        <v>28</v>
      </c>
      <c r="AA22" s="142">
        <v>1987</v>
      </c>
      <c r="AB22" s="118">
        <v>1354</v>
      </c>
      <c r="AC22" s="143">
        <v>3900</v>
      </c>
      <c r="AE22" s="43" t="s">
        <v>28</v>
      </c>
      <c r="AF22" s="142">
        <v>5639</v>
      </c>
      <c r="AG22" s="118">
        <v>8307</v>
      </c>
      <c r="AH22" s="143">
        <v>24525</v>
      </c>
      <c r="AJ22" s="43" t="s">
        <v>28</v>
      </c>
      <c r="AK22" s="142">
        <v>181</v>
      </c>
      <c r="AL22" s="118">
        <v>1519</v>
      </c>
      <c r="AM22" s="143">
        <v>5106</v>
      </c>
      <c r="AO22" s="43" t="s">
        <v>28</v>
      </c>
      <c r="AP22" s="142">
        <v>349</v>
      </c>
      <c r="AQ22" s="118">
        <v>3728</v>
      </c>
      <c r="AR22" s="143">
        <v>13108</v>
      </c>
      <c r="AT22" s="43" t="s">
        <v>28</v>
      </c>
      <c r="AU22" s="142">
        <v>685</v>
      </c>
      <c r="AV22" s="118">
        <v>1946</v>
      </c>
      <c r="AW22" s="143">
        <v>6024</v>
      </c>
      <c r="AY22" s="43" t="s">
        <v>28</v>
      </c>
      <c r="AZ22" s="142">
        <v>200</v>
      </c>
      <c r="BA22" s="118">
        <v>3870</v>
      </c>
      <c r="BB22" s="143">
        <v>13650</v>
      </c>
      <c r="BD22" s="43" t="s">
        <v>28</v>
      </c>
      <c r="BE22" s="142">
        <v>1333</v>
      </c>
      <c r="BF22" s="118">
        <v>900</v>
      </c>
      <c r="BG22" s="143">
        <v>1430</v>
      </c>
      <c r="BI22" s="43" t="s">
        <v>28</v>
      </c>
      <c r="BJ22" s="142">
        <v>7856</v>
      </c>
      <c r="BK22" s="118">
        <v>5857</v>
      </c>
      <c r="BL22" s="143">
        <v>12220</v>
      </c>
      <c r="BN22" s="43" t="s">
        <v>28</v>
      </c>
      <c r="BO22" s="142">
        <v>166</v>
      </c>
      <c r="BP22" s="118">
        <v>128</v>
      </c>
      <c r="BQ22" s="143">
        <v>252</v>
      </c>
      <c r="BS22" s="43" t="s">
        <v>28</v>
      </c>
      <c r="BT22" s="142">
        <v>605</v>
      </c>
      <c r="BU22" s="118">
        <v>401</v>
      </c>
      <c r="BV22" s="143">
        <v>881</v>
      </c>
      <c r="BX22" s="43" t="s">
        <v>28</v>
      </c>
      <c r="BY22" s="142">
        <v>14867</v>
      </c>
      <c r="BZ22" s="118">
        <v>19267</v>
      </c>
      <c r="CA22" s="143">
        <v>69422</v>
      </c>
      <c r="CB22" s="30"/>
      <c r="CC22" s="43" t="s">
        <v>28</v>
      </c>
      <c r="CD22" s="142">
        <v>611</v>
      </c>
      <c r="CE22" s="118">
        <v>2154</v>
      </c>
      <c r="CF22" s="143">
        <v>8579</v>
      </c>
      <c r="CG22" s="30"/>
      <c r="CH22" s="43" t="s">
        <v>28</v>
      </c>
      <c r="CI22" s="142">
        <v>63</v>
      </c>
      <c r="CJ22" s="118">
        <v>43</v>
      </c>
      <c r="CK22" s="143">
        <v>84</v>
      </c>
      <c r="CL22" s="30"/>
      <c r="CM22" s="43" t="s">
        <v>28</v>
      </c>
      <c r="CN22" s="142">
        <v>36</v>
      </c>
      <c r="CO22" s="118">
        <v>30</v>
      </c>
      <c r="CP22" s="143">
        <v>63</v>
      </c>
      <c r="CR22" s="43" t="s">
        <v>28</v>
      </c>
      <c r="CS22" s="142">
        <v>101</v>
      </c>
      <c r="CT22" s="118">
        <v>49</v>
      </c>
      <c r="CU22" s="143">
        <v>97</v>
      </c>
      <c r="CW22" s="43" t="s">
        <v>28</v>
      </c>
      <c r="CX22" s="142">
        <v>66</v>
      </c>
      <c r="CY22" s="118">
        <v>51</v>
      </c>
      <c r="CZ22" s="143">
        <v>61</v>
      </c>
      <c r="DB22" s="43" t="s">
        <v>28</v>
      </c>
      <c r="DC22" s="142">
        <v>1040</v>
      </c>
      <c r="DD22" s="118">
        <v>876</v>
      </c>
      <c r="DE22" s="143">
        <v>1855</v>
      </c>
      <c r="DG22" s="43" t="s">
        <v>28</v>
      </c>
      <c r="DH22" s="142">
        <v>394</v>
      </c>
      <c r="DI22" s="118">
        <v>1215</v>
      </c>
      <c r="DJ22" s="143">
        <v>4756</v>
      </c>
      <c r="DL22" s="43" t="s">
        <v>28</v>
      </c>
      <c r="DM22" s="142">
        <v>61</v>
      </c>
      <c r="DN22" s="118">
        <v>53</v>
      </c>
      <c r="DO22" s="143">
        <v>122</v>
      </c>
      <c r="DQ22" s="43" t="s">
        <v>28</v>
      </c>
      <c r="DR22" s="142">
        <v>13162</v>
      </c>
      <c r="DS22" s="118">
        <v>12349</v>
      </c>
      <c r="DT22" s="143">
        <v>25511</v>
      </c>
      <c r="DV22" s="43" t="s">
        <v>28</v>
      </c>
      <c r="DW22" s="142">
        <v>31755</v>
      </c>
      <c r="DX22" s="118">
        <v>28150</v>
      </c>
      <c r="DY22" s="143">
        <v>55696</v>
      </c>
      <c r="EA22" s="43" t="s">
        <v>28</v>
      </c>
      <c r="EB22" s="142">
        <v>3540</v>
      </c>
      <c r="EC22" s="118">
        <v>3937</v>
      </c>
      <c r="ED22" s="143">
        <v>12151</v>
      </c>
      <c r="EF22" s="43" t="s">
        <v>28</v>
      </c>
      <c r="EG22" s="142">
        <v>7640</v>
      </c>
      <c r="EH22" s="118">
        <v>4422</v>
      </c>
      <c r="EI22" s="143">
        <v>12594</v>
      </c>
      <c r="EK22" s="43" t="s">
        <v>28</v>
      </c>
      <c r="EL22" s="142">
        <v>1886</v>
      </c>
      <c r="EM22" s="118">
        <v>1970</v>
      </c>
      <c r="EN22" s="143">
        <v>10680</v>
      </c>
      <c r="EP22" s="43" t="s">
        <v>28</v>
      </c>
      <c r="EQ22" s="142">
        <v>5046</v>
      </c>
      <c r="ER22" s="118">
        <v>5160</v>
      </c>
      <c r="ES22" s="143">
        <v>13581</v>
      </c>
      <c r="EU22" s="43" t="s">
        <v>28</v>
      </c>
      <c r="EV22" s="142">
        <v>4215</v>
      </c>
      <c r="EW22" s="118">
        <v>4684</v>
      </c>
      <c r="EX22" s="143">
        <v>13993</v>
      </c>
      <c r="EZ22" s="43" t="s">
        <v>28</v>
      </c>
      <c r="FA22" s="142">
        <v>2034</v>
      </c>
      <c r="FB22" s="118">
        <v>1992</v>
      </c>
      <c r="FC22" s="143">
        <v>8312</v>
      </c>
      <c r="FE22" s="43" t="s">
        <v>28</v>
      </c>
      <c r="FF22" s="142">
        <v>780</v>
      </c>
      <c r="FG22" s="118">
        <v>312</v>
      </c>
      <c r="FH22" s="143">
        <v>1350</v>
      </c>
      <c r="FJ22" s="43" t="s">
        <v>28</v>
      </c>
      <c r="FK22" s="142">
        <v>50</v>
      </c>
      <c r="FL22" s="118">
        <v>36</v>
      </c>
      <c r="FM22" s="143">
        <v>186</v>
      </c>
      <c r="FO22" s="43" t="s">
        <v>28</v>
      </c>
      <c r="FP22" s="142">
        <v>73218</v>
      </c>
      <c r="FQ22" s="118">
        <v>41159</v>
      </c>
      <c r="FR22" s="143">
        <v>97709</v>
      </c>
      <c r="FT22" s="43" t="s">
        <v>28</v>
      </c>
      <c r="FU22" s="142">
        <v>8816</v>
      </c>
      <c r="FV22" s="118">
        <v>6440</v>
      </c>
      <c r="FW22" s="143">
        <v>10677</v>
      </c>
      <c r="FY22" s="43" t="s">
        <v>28</v>
      </c>
      <c r="FZ22" s="142">
        <v>600</v>
      </c>
      <c r="GA22" s="118">
        <v>690</v>
      </c>
      <c r="GB22" s="143">
        <v>1687</v>
      </c>
    </row>
    <row r="23" spans="1:184" ht="15">
      <c r="A23" s="43" t="s">
        <v>29</v>
      </c>
      <c r="B23" s="142">
        <v>231239</v>
      </c>
      <c r="C23" s="118">
        <v>154304</v>
      </c>
      <c r="D23" s="143">
        <v>272999</v>
      </c>
      <c r="F23" s="43" t="s">
        <v>29</v>
      </c>
      <c r="G23" s="142">
        <v>381902</v>
      </c>
      <c r="H23" s="118">
        <v>412586</v>
      </c>
      <c r="I23" s="143">
        <v>756246</v>
      </c>
      <c r="K23" s="43" t="s">
        <v>29</v>
      </c>
      <c r="L23" s="142">
        <v>402186</v>
      </c>
      <c r="M23" s="118">
        <v>233894</v>
      </c>
      <c r="N23" s="143">
        <v>372385</v>
      </c>
      <c r="P23" s="43" t="s">
        <v>29</v>
      </c>
      <c r="Q23" s="142">
        <v>13118</v>
      </c>
      <c r="R23" s="118">
        <v>10445</v>
      </c>
      <c r="S23" s="143">
        <v>26377</v>
      </c>
      <c r="U23" s="43" t="s">
        <v>29</v>
      </c>
      <c r="V23" s="142">
        <v>222</v>
      </c>
      <c r="W23" s="118">
        <v>379</v>
      </c>
      <c r="X23" s="143">
        <v>1327</v>
      </c>
      <c r="Z23" s="43" t="s">
        <v>29</v>
      </c>
      <c r="AA23" s="142">
        <v>1639</v>
      </c>
      <c r="AB23" s="118">
        <v>1068</v>
      </c>
      <c r="AC23" s="143">
        <v>2452</v>
      </c>
      <c r="AE23" s="43" t="s">
        <v>29</v>
      </c>
      <c r="AF23" s="142">
        <v>6886</v>
      </c>
      <c r="AG23" s="118">
        <v>7758</v>
      </c>
      <c r="AH23" s="143">
        <v>22604</v>
      </c>
      <c r="AJ23" s="43" t="s">
        <v>29</v>
      </c>
      <c r="AK23" s="142">
        <v>193</v>
      </c>
      <c r="AL23" s="118">
        <v>1393</v>
      </c>
      <c r="AM23" s="143">
        <v>4601</v>
      </c>
      <c r="AO23" s="43" t="s">
        <v>29</v>
      </c>
      <c r="AP23" s="142">
        <v>476</v>
      </c>
      <c r="AQ23" s="118">
        <v>3354</v>
      </c>
      <c r="AR23" s="143">
        <v>11842</v>
      </c>
      <c r="AT23" s="43" t="s">
        <v>29</v>
      </c>
      <c r="AU23" s="142">
        <v>736</v>
      </c>
      <c r="AV23" s="118">
        <v>1803</v>
      </c>
      <c r="AW23" s="143">
        <v>5406</v>
      </c>
      <c r="AY23" s="43" t="s">
        <v>29</v>
      </c>
      <c r="AZ23" s="142">
        <v>225</v>
      </c>
      <c r="BA23" s="118">
        <v>3522</v>
      </c>
      <c r="BB23" s="143">
        <v>12312</v>
      </c>
      <c r="BD23" s="43" t="s">
        <v>29</v>
      </c>
      <c r="BE23" s="142">
        <v>1502</v>
      </c>
      <c r="BF23" s="118">
        <v>788</v>
      </c>
      <c r="BG23" s="143">
        <v>1242</v>
      </c>
      <c r="BI23" s="43" t="s">
        <v>29</v>
      </c>
      <c r="BJ23" s="142">
        <v>10556</v>
      </c>
      <c r="BK23" s="118">
        <v>5756</v>
      </c>
      <c r="BL23" s="143">
        <v>10946</v>
      </c>
      <c r="BN23" s="43" t="s">
        <v>29</v>
      </c>
      <c r="BO23" s="142">
        <v>1999</v>
      </c>
      <c r="BP23" s="118">
        <v>824</v>
      </c>
      <c r="BQ23" s="143">
        <v>1278</v>
      </c>
      <c r="BS23" s="43" t="s">
        <v>29</v>
      </c>
      <c r="BT23" s="142">
        <v>506</v>
      </c>
      <c r="BU23" s="118">
        <v>414</v>
      </c>
      <c r="BV23" s="143">
        <v>790</v>
      </c>
      <c r="BX23" s="43" t="s">
        <v>29</v>
      </c>
      <c r="BY23" s="142">
        <v>25668</v>
      </c>
      <c r="BZ23" s="118">
        <v>20731</v>
      </c>
      <c r="CA23" s="143">
        <v>67446</v>
      </c>
      <c r="CB23" s="30"/>
      <c r="CC23" s="43" t="s">
        <v>29</v>
      </c>
      <c r="CD23" s="142">
        <v>825</v>
      </c>
      <c r="CE23" s="118">
        <v>2162</v>
      </c>
      <c r="CF23" s="143">
        <v>8466</v>
      </c>
      <c r="CG23" s="30"/>
      <c r="CH23" s="43" t="s">
        <v>29</v>
      </c>
      <c r="CI23" s="142">
        <v>78</v>
      </c>
      <c r="CJ23" s="118">
        <v>44</v>
      </c>
      <c r="CK23" s="143">
        <v>81</v>
      </c>
      <c r="CL23" s="30"/>
      <c r="CM23" s="43" t="s">
        <v>29</v>
      </c>
      <c r="CN23" s="142">
        <v>47</v>
      </c>
      <c r="CO23" s="118">
        <v>32</v>
      </c>
      <c r="CP23" s="143">
        <v>60</v>
      </c>
      <c r="CR23" s="43" t="s">
        <v>29</v>
      </c>
      <c r="CS23" s="142">
        <v>96</v>
      </c>
      <c r="CT23" s="118">
        <v>51</v>
      </c>
      <c r="CU23" s="143">
        <v>94</v>
      </c>
      <c r="CW23" s="43" t="s">
        <v>29</v>
      </c>
      <c r="CX23" s="142">
        <v>69</v>
      </c>
      <c r="CY23" s="118">
        <v>53</v>
      </c>
      <c r="CZ23" s="143">
        <v>63</v>
      </c>
      <c r="DB23" s="43" t="s">
        <v>29</v>
      </c>
      <c r="DC23" s="142">
        <v>1260</v>
      </c>
      <c r="DD23" s="118">
        <v>858</v>
      </c>
      <c r="DE23" s="143">
        <v>1695</v>
      </c>
      <c r="DG23" s="43" t="s">
        <v>29</v>
      </c>
      <c r="DH23" s="142">
        <v>310</v>
      </c>
      <c r="DI23" s="118">
        <v>1069</v>
      </c>
      <c r="DJ23" s="143">
        <v>4454</v>
      </c>
      <c r="DL23" s="43" t="s">
        <v>29</v>
      </c>
      <c r="DM23" s="142">
        <v>72</v>
      </c>
      <c r="DN23" s="118">
        <v>52</v>
      </c>
      <c r="DO23" s="143">
        <v>114</v>
      </c>
      <c r="DQ23" s="43" t="s">
        <v>29</v>
      </c>
      <c r="DR23" s="142">
        <v>19401</v>
      </c>
      <c r="DS23" s="118">
        <v>14523</v>
      </c>
      <c r="DT23" s="143">
        <v>27037</v>
      </c>
      <c r="DV23" s="43" t="s">
        <v>29</v>
      </c>
      <c r="DW23" s="142">
        <v>46736</v>
      </c>
      <c r="DX23" s="118">
        <v>33655</v>
      </c>
      <c r="DY23" s="143">
        <v>58857</v>
      </c>
      <c r="EA23" s="43" t="s">
        <v>29</v>
      </c>
      <c r="EB23" s="142">
        <v>3877</v>
      </c>
      <c r="EC23" s="118">
        <v>3752</v>
      </c>
      <c r="ED23" s="143">
        <v>10198</v>
      </c>
      <c r="EF23" s="43" t="s">
        <v>29</v>
      </c>
      <c r="EG23" s="142">
        <v>10321</v>
      </c>
      <c r="EH23" s="118">
        <v>4401</v>
      </c>
      <c r="EI23" s="143">
        <v>11962</v>
      </c>
      <c r="EK23" s="43" t="s">
        <v>29</v>
      </c>
      <c r="EL23" s="142">
        <v>2048</v>
      </c>
      <c r="EM23" s="118">
        <v>1707</v>
      </c>
      <c r="EN23" s="143">
        <v>10960</v>
      </c>
      <c r="EP23" s="43" t="s">
        <v>29</v>
      </c>
      <c r="EQ23" s="142">
        <v>5010</v>
      </c>
      <c r="ER23" s="118">
        <v>4852</v>
      </c>
      <c r="ES23" s="143">
        <v>11482</v>
      </c>
      <c r="EU23" s="43" t="s">
        <v>29</v>
      </c>
      <c r="EV23" s="142">
        <v>4988</v>
      </c>
      <c r="EW23" s="118">
        <v>4482</v>
      </c>
      <c r="EX23" s="143">
        <v>13430</v>
      </c>
      <c r="EZ23" s="43" t="s">
        <v>29</v>
      </c>
      <c r="FA23" s="142">
        <v>1843</v>
      </c>
      <c r="FB23" s="118">
        <v>2176</v>
      </c>
      <c r="FC23" s="143">
        <v>7813</v>
      </c>
      <c r="FE23" s="43" t="s">
        <v>29</v>
      </c>
      <c r="FF23" s="142">
        <v>895</v>
      </c>
      <c r="FG23" s="118">
        <v>304</v>
      </c>
      <c r="FH23" s="143">
        <v>1383</v>
      </c>
      <c r="FJ23" s="43" t="s">
        <v>29</v>
      </c>
      <c r="FK23" s="142">
        <v>53</v>
      </c>
      <c r="FL23" s="118">
        <v>45</v>
      </c>
      <c r="FM23" s="143">
        <v>221</v>
      </c>
      <c r="FO23" s="43" t="s">
        <v>29</v>
      </c>
      <c r="FP23" s="142">
        <v>106391</v>
      </c>
      <c r="FQ23" s="118">
        <v>49007</v>
      </c>
      <c r="FR23" s="143">
        <v>100746</v>
      </c>
      <c r="FT23" s="43" t="s">
        <v>29</v>
      </c>
      <c r="FU23" s="142">
        <v>13242</v>
      </c>
      <c r="FV23" s="118">
        <v>8135.9999999999991</v>
      </c>
      <c r="FW23" s="143">
        <v>12008</v>
      </c>
      <c r="FY23" s="43" t="s">
        <v>29</v>
      </c>
      <c r="FZ23" s="142">
        <v>616</v>
      </c>
      <c r="GA23" s="118">
        <v>601</v>
      </c>
      <c r="GB23" s="143">
        <v>1503</v>
      </c>
    </row>
    <row r="24" spans="1:184" ht="15">
      <c r="A24" s="43" t="s">
        <v>30</v>
      </c>
      <c r="B24" s="142">
        <v>280057</v>
      </c>
      <c r="C24" s="118">
        <v>179590</v>
      </c>
      <c r="D24" s="143">
        <v>308050</v>
      </c>
      <c r="F24" s="43" t="s">
        <v>30</v>
      </c>
      <c r="G24" s="142">
        <v>419174</v>
      </c>
      <c r="H24" s="118">
        <v>403878</v>
      </c>
      <c r="I24" s="143">
        <v>782724</v>
      </c>
      <c r="K24" s="43" t="s">
        <v>30</v>
      </c>
      <c r="L24" s="142">
        <v>491675</v>
      </c>
      <c r="M24" s="118">
        <v>273731</v>
      </c>
      <c r="N24" s="143">
        <v>427483</v>
      </c>
      <c r="P24" s="43" t="s">
        <v>30</v>
      </c>
      <c r="Q24" s="142">
        <v>14855</v>
      </c>
      <c r="R24" s="118">
        <v>11810</v>
      </c>
      <c r="S24" s="143">
        <v>28424</v>
      </c>
      <c r="U24" s="43" t="s">
        <v>30</v>
      </c>
      <c r="V24" s="142">
        <v>225</v>
      </c>
      <c r="W24" s="118">
        <v>311</v>
      </c>
      <c r="X24" s="143">
        <v>1221</v>
      </c>
      <c r="Z24" s="43" t="s">
        <v>30</v>
      </c>
      <c r="AA24" s="142">
        <v>1596</v>
      </c>
      <c r="AB24" s="118">
        <v>1072</v>
      </c>
      <c r="AC24" s="143">
        <v>2478</v>
      </c>
      <c r="AE24" s="43" t="s">
        <v>30</v>
      </c>
      <c r="AF24" s="142">
        <v>7011</v>
      </c>
      <c r="AG24" s="118">
        <v>7054</v>
      </c>
      <c r="AH24" s="143">
        <v>21281</v>
      </c>
      <c r="AJ24" s="43" t="s">
        <v>30</v>
      </c>
      <c r="AK24" s="142">
        <v>232</v>
      </c>
      <c r="AL24" s="118">
        <v>1188</v>
      </c>
      <c r="AM24" s="143">
        <v>4111</v>
      </c>
      <c r="AO24" s="43" t="s">
        <v>30</v>
      </c>
      <c r="AP24" s="142">
        <v>500</v>
      </c>
      <c r="AQ24" s="118">
        <v>2791</v>
      </c>
      <c r="AR24" s="143">
        <v>10822</v>
      </c>
      <c r="AT24" s="43" t="s">
        <v>30</v>
      </c>
      <c r="AU24" s="142">
        <v>840</v>
      </c>
      <c r="AV24" s="118">
        <v>1604</v>
      </c>
      <c r="AW24" s="143">
        <v>4836</v>
      </c>
      <c r="AY24" s="43" t="s">
        <v>30</v>
      </c>
      <c r="AZ24" s="142">
        <v>253</v>
      </c>
      <c r="BA24" s="118">
        <v>2907</v>
      </c>
      <c r="BB24" s="143">
        <v>11011</v>
      </c>
      <c r="BD24" s="43" t="s">
        <v>30</v>
      </c>
      <c r="BE24" s="142">
        <v>1227</v>
      </c>
      <c r="BF24" s="118">
        <v>866</v>
      </c>
      <c r="BG24" s="143">
        <v>1340</v>
      </c>
      <c r="BI24" s="43" t="s">
        <v>30</v>
      </c>
      <c r="BJ24" s="142">
        <v>12382</v>
      </c>
      <c r="BK24" s="118">
        <v>6435</v>
      </c>
      <c r="BL24" s="143">
        <v>11833</v>
      </c>
      <c r="BN24" s="43" t="s">
        <v>30</v>
      </c>
      <c r="BO24" s="142">
        <v>4401</v>
      </c>
      <c r="BP24" s="118">
        <v>1245</v>
      </c>
      <c r="BQ24" s="143">
        <v>2403</v>
      </c>
      <c r="BS24" s="43" t="s">
        <v>30</v>
      </c>
      <c r="BT24" s="142">
        <v>726</v>
      </c>
      <c r="BU24" s="118">
        <v>533</v>
      </c>
      <c r="BV24" s="143">
        <v>355</v>
      </c>
      <c r="BX24" s="43" t="s">
        <v>30</v>
      </c>
      <c r="BY24" s="142">
        <v>47375</v>
      </c>
      <c r="BZ24" s="118">
        <v>25009</v>
      </c>
      <c r="CA24" s="143">
        <v>69358</v>
      </c>
      <c r="CB24" s="30"/>
      <c r="CC24" s="43" t="s">
        <v>30</v>
      </c>
      <c r="CD24" s="142">
        <v>824</v>
      </c>
      <c r="CE24" s="118">
        <v>1941</v>
      </c>
      <c r="CF24" s="143">
        <v>7827</v>
      </c>
      <c r="CG24" s="30"/>
      <c r="CH24" s="43" t="s">
        <v>30</v>
      </c>
      <c r="CI24" s="142">
        <v>79</v>
      </c>
      <c r="CJ24" s="118">
        <v>43</v>
      </c>
      <c r="CK24" s="143">
        <v>81</v>
      </c>
      <c r="CL24" s="30"/>
      <c r="CM24" s="43" t="s">
        <v>30</v>
      </c>
      <c r="CN24" s="142">
        <v>45</v>
      </c>
      <c r="CO24" s="118">
        <v>30</v>
      </c>
      <c r="CP24" s="143">
        <v>59</v>
      </c>
      <c r="CR24" s="43" t="s">
        <v>30</v>
      </c>
      <c r="CS24" s="142">
        <v>122</v>
      </c>
      <c r="CT24" s="118">
        <v>53</v>
      </c>
      <c r="CU24" s="143">
        <v>100</v>
      </c>
      <c r="CW24" s="43" t="s">
        <v>30</v>
      </c>
      <c r="CX24" s="142">
        <v>67</v>
      </c>
      <c r="CY24" s="118">
        <v>51</v>
      </c>
      <c r="CZ24" s="143">
        <v>61</v>
      </c>
      <c r="DB24" s="43" t="s">
        <v>30</v>
      </c>
      <c r="DC24" s="142">
        <v>1766</v>
      </c>
      <c r="DD24" s="118">
        <v>1292</v>
      </c>
      <c r="DE24" s="143">
        <v>2439</v>
      </c>
      <c r="DG24" s="43" t="s">
        <v>30</v>
      </c>
      <c r="DH24" s="142">
        <v>266</v>
      </c>
      <c r="DI24" s="118">
        <v>801</v>
      </c>
      <c r="DJ24" s="143">
        <v>4015</v>
      </c>
      <c r="DL24" s="43" t="s">
        <v>30</v>
      </c>
      <c r="DM24" s="142">
        <v>67</v>
      </c>
      <c r="DN24" s="118">
        <v>49</v>
      </c>
      <c r="DO24" s="143">
        <v>107</v>
      </c>
      <c r="DQ24" s="43" t="s">
        <v>30</v>
      </c>
      <c r="DR24" s="142">
        <v>24484</v>
      </c>
      <c r="DS24" s="118">
        <v>18902</v>
      </c>
      <c r="DT24" s="143">
        <v>34426</v>
      </c>
      <c r="DV24" s="43" t="s">
        <v>30</v>
      </c>
      <c r="DW24" s="142">
        <v>48047</v>
      </c>
      <c r="DX24" s="118">
        <v>33280</v>
      </c>
      <c r="DY24" s="143">
        <v>59296</v>
      </c>
      <c r="EA24" s="43" t="s">
        <v>30</v>
      </c>
      <c r="EB24" s="142">
        <v>5711</v>
      </c>
      <c r="EC24" s="118">
        <v>3972</v>
      </c>
      <c r="ED24" s="143">
        <v>10033</v>
      </c>
      <c r="EF24" s="43" t="s">
        <v>30</v>
      </c>
      <c r="EG24" s="142">
        <v>15117</v>
      </c>
      <c r="EH24" s="118">
        <v>5111</v>
      </c>
      <c r="EI24" s="143">
        <v>11641</v>
      </c>
      <c r="EK24" s="43" t="s">
        <v>30</v>
      </c>
      <c r="EL24" s="142">
        <v>1784</v>
      </c>
      <c r="EM24" s="118">
        <v>1397</v>
      </c>
      <c r="EN24" s="143">
        <v>9955</v>
      </c>
      <c r="EP24" s="43" t="s">
        <v>30</v>
      </c>
      <c r="EQ24" s="142">
        <v>4661</v>
      </c>
      <c r="ER24" s="118">
        <v>4397</v>
      </c>
      <c r="ES24" s="143">
        <v>10704</v>
      </c>
      <c r="EU24" s="43" t="s">
        <v>30</v>
      </c>
      <c r="EV24" s="142">
        <v>4666</v>
      </c>
      <c r="EW24" s="118">
        <v>4032</v>
      </c>
      <c r="EX24" s="143">
        <v>12326</v>
      </c>
      <c r="EZ24" s="43" t="s">
        <v>30</v>
      </c>
      <c r="FA24" s="142">
        <v>1623</v>
      </c>
      <c r="FB24" s="118">
        <v>1494</v>
      </c>
      <c r="FC24" s="143">
        <v>6975</v>
      </c>
      <c r="FE24" s="43" t="s">
        <v>30</v>
      </c>
      <c r="FF24" s="142">
        <v>804</v>
      </c>
      <c r="FG24" s="118">
        <v>303</v>
      </c>
      <c r="FH24" s="143">
        <v>1316</v>
      </c>
      <c r="FJ24" s="43" t="s">
        <v>30</v>
      </c>
      <c r="FK24" s="142">
        <v>45</v>
      </c>
      <c r="FL24" s="118">
        <v>35</v>
      </c>
      <c r="FM24" s="143">
        <v>197</v>
      </c>
      <c r="FO24" s="43" t="s">
        <v>30</v>
      </c>
      <c r="FP24" s="142">
        <v>133897</v>
      </c>
      <c r="FQ24" s="118">
        <v>62344</v>
      </c>
      <c r="FR24" s="143">
        <v>115558</v>
      </c>
      <c r="FT24" s="43" t="s">
        <v>30</v>
      </c>
      <c r="FU24" s="142">
        <v>16977</v>
      </c>
      <c r="FV24" s="118">
        <v>11833</v>
      </c>
      <c r="FW24" s="143">
        <v>19270</v>
      </c>
      <c r="FY24" s="43" t="s">
        <v>30</v>
      </c>
      <c r="FZ24" s="142">
        <v>783</v>
      </c>
      <c r="GA24" s="118">
        <v>678</v>
      </c>
      <c r="GB24" s="143">
        <v>1621</v>
      </c>
    </row>
    <row r="25" spans="1:184" ht="15">
      <c r="A25" s="43" t="s">
        <v>31</v>
      </c>
      <c r="B25" s="117">
        <v>290290</v>
      </c>
      <c r="C25" s="118">
        <v>207215</v>
      </c>
      <c r="D25" s="119">
        <v>327398</v>
      </c>
      <c r="F25" s="43" t="s">
        <v>31</v>
      </c>
      <c r="G25" s="117">
        <v>484563</v>
      </c>
      <c r="H25" s="118">
        <v>472618</v>
      </c>
      <c r="I25" s="119">
        <v>828685</v>
      </c>
      <c r="K25" s="43" t="s">
        <v>31</v>
      </c>
      <c r="L25" s="117">
        <v>509094</v>
      </c>
      <c r="M25" s="118">
        <v>311970</v>
      </c>
      <c r="N25" s="119">
        <v>452897</v>
      </c>
      <c r="P25" s="43" t="s">
        <v>31</v>
      </c>
      <c r="Q25" s="117">
        <v>13074</v>
      </c>
      <c r="R25" s="118">
        <v>11564</v>
      </c>
      <c r="S25" s="119">
        <v>27235</v>
      </c>
      <c r="U25" s="43" t="s">
        <v>31</v>
      </c>
      <c r="V25" s="117">
        <v>190</v>
      </c>
      <c r="W25" s="118">
        <v>334</v>
      </c>
      <c r="X25" s="119">
        <v>1255</v>
      </c>
      <c r="Z25" s="43" t="s">
        <v>31</v>
      </c>
      <c r="AA25" s="117">
        <v>1489</v>
      </c>
      <c r="AB25" s="118">
        <v>1136</v>
      </c>
      <c r="AC25" s="119">
        <v>2615</v>
      </c>
      <c r="AE25" s="43" t="s">
        <v>31</v>
      </c>
      <c r="AF25" s="117">
        <v>7473</v>
      </c>
      <c r="AG25" s="118">
        <v>7856</v>
      </c>
      <c r="AH25" s="119">
        <v>22505</v>
      </c>
      <c r="AJ25" s="43" t="s">
        <v>31</v>
      </c>
      <c r="AK25" s="117">
        <v>163</v>
      </c>
      <c r="AL25" s="118">
        <v>1242</v>
      </c>
      <c r="AM25" s="119">
        <v>4395</v>
      </c>
      <c r="AO25" s="43" t="s">
        <v>31</v>
      </c>
      <c r="AP25" s="117">
        <v>477</v>
      </c>
      <c r="AQ25" s="118">
        <v>2881</v>
      </c>
      <c r="AR25" s="119">
        <v>11376</v>
      </c>
      <c r="AT25" s="43" t="s">
        <v>31</v>
      </c>
      <c r="AU25" s="117">
        <v>888</v>
      </c>
      <c r="AV25" s="118">
        <v>1736</v>
      </c>
      <c r="AW25" s="119">
        <v>5137</v>
      </c>
      <c r="AY25" s="43" t="s">
        <v>31</v>
      </c>
      <c r="AZ25" s="117">
        <v>227</v>
      </c>
      <c r="BA25" s="118">
        <v>3018</v>
      </c>
      <c r="BB25" s="119">
        <v>11744</v>
      </c>
      <c r="BD25" s="43" t="s">
        <v>31</v>
      </c>
      <c r="BE25" s="117">
        <v>1041</v>
      </c>
      <c r="BF25" s="118">
        <v>714</v>
      </c>
      <c r="BG25" s="119">
        <v>1183</v>
      </c>
      <c r="BI25" s="43" t="s">
        <v>31</v>
      </c>
      <c r="BJ25" s="117">
        <v>12914</v>
      </c>
      <c r="BK25" s="118">
        <v>6914</v>
      </c>
      <c r="BL25" s="119">
        <v>12240</v>
      </c>
      <c r="BN25" s="43" t="s">
        <v>31</v>
      </c>
      <c r="BO25" s="117">
        <v>5283</v>
      </c>
      <c r="BP25" s="118">
        <v>2212</v>
      </c>
      <c r="BQ25" s="119">
        <v>3363</v>
      </c>
      <c r="BS25" s="43" t="s">
        <v>31</v>
      </c>
      <c r="BT25" s="117">
        <v>750</v>
      </c>
      <c r="BU25" s="118">
        <v>550</v>
      </c>
      <c r="BV25" s="119">
        <v>367</v>
      </c>
      <c r="BX25" s="43" t="s">
        <v>31</v>
      </c>
      <c r="BY25" s="117">
        <v>48356</v>
      </c>
      <c r="BZ25" s="118">
        <v>26356</v>
      </c>
      <c r="CA25" s="119">
        <v>70559</v>
      </c>
      <c r="CB25" s="30"/>
      <c r="CC25" s="43" t="s">
        <v>31</v>
      </c>
      <c r="CD25" s="117">
        <v>718</v>
      </c>
      <c r="CE25" s="118">
        <v>1893</v>
      </c>
      <c r="CF25" s="119">
        <v>7420</v>
      </c>
      <c r="CG25" s="30"/>
      <c r="CH25" s="43" t="s">
        <v>31</v>
      </c>
      <c r="CI25" s="117">
        <v>83</v>
      </c>
      <c r="CJ25" s="118">
        <v>50</v>
      </c>
      <c r="CK25" s="119">
        <v>88</v>
      </c>
      <c r="CL25" s="30"/>
      <c r="CM25" s="43" t="s">
        <v>31</v>
      </c>
      <c r="CN25" s="117">
        <v>43</v>
      </c>
      <c r="CO25" s="118">
        <v>34</v>
      </c>
      <c r="CP25" s="119">
        <v>60</v>
      </c>
      <c r="CR25" s="43" t="s">
        <v>31</v>
      </c>
      <c r="CS25" s="117">
        <v>165</v>
      </c>
      <c r="CT25" s="118">
        <v>59</v>
      </c>
      <c r="CU25" s="119">
        <v>103</v>
      </c>
      <c r="CW25" s="43" t="s">
        <v>31</v>
      </c>
      <c r="CX25" s="117">
        <v>69</v>
      </c>
      <c r="CY25" s="118">
        <v>53</v>
      </c>
      <c r="CZ25" s="119">
        <v>63</v>
      </c>
      <c r="DB25" s="43" t="s">
        <v>31</v>
      </c>
      <c r="DC25" s="117">
        <v>1743</v>
      </c>
      <c r="DD25" s="118">
        <v>1392</v>
      </c>
      <c r="DE25" s="119">
        <v>2477</v>
      </c>
      <c r="DG25" s="43" t="s">
        <v>31</v>
      </c>
      <c r="DH25" s="117">
        <v>313</v>
      </c>
      <c r="DI25" s="118">
        <v>905</v>
      </c>
      <c r="DJ25" s="119">
        <v>4208</v>
      </c>
      <c r="DL25" s="43" t="s">
        <v>31</v>
      </c>
      <c r="DM25" s="117">
        <v>71</v>
      </c>
      <c r="DN25" s="118">
        <v>55</v>
      </c>
      <c r="DO25" s="119">
        <v>113</v>
      </c>
      <c r="DQ25" s="43" t="s">
        <v>31</v>
      </c>
      <c r="DR25" s="117">
        <v>24694</v>
      </c>
      <c r="DS25" s="118">
        <v>19977</v>
      </c>
      <c r="DT25" s="119">
        <v>38471</v>
      </c>
      <c r="DV25" s="43" t="s">
        <v>31</v>
      </c>
      <c r="DW25" s="117">
        <v>52028</v>
      </c>
      <c r="DX25" s="118">
        <v>40028</v>
      </c>
      <c r="DY25" s="119">
        <v>62768</v>
      </c>
      <c r="EA25" s="43" t="s">
        <v>31</v>
      </c>
      <c r="EB25" s="117">
        <v>5901</v>
      </c>
      <c r="EC25" s="118">
        <v>4345</v>
      </c>
      <c r="ED25" s="119">
        <v>10780</v>
      </c>
      <c r="EF25" s="43" t="s">
        <v>31</v>
      </c>
      <c r="EG25" s="117">
        <v>15440</v>
      </c>
      <c r="EH25" s="118">
        <v>5295</v>
      </c>
      <c r="EI25" s="119">
        <v>12890</v>
      </c>
      <c r="EK25" s="43" t="s">
        <v>31</v>
      </c>
      <c r="EL25" s="117">
        <v>1779</v>
      </c>
      <c r="EM25" s="118">
        <v>1551</v>
      </c>
      <c r="EN25" s="119">
        <v>10397</v>
      </c>
      <c r="EP25" s="43" t="s">
        <v>31</v>
      </c>
      <c r="EQ25" s="117">
        <v>4466</v>
      </c>
      <c r="ER25" s="118">
        <v>4613</v>
      </c>
      <c r="ES25" s="119">
        <v>10746</v>
      </c>
      <c r="EU25" s="43" t="s">
        <v>31</v>
      </c>
      <c r="EV25" s="117">
        <v>4614</v>
      </c>
      <c r="EW25" s="118">
        <v>4391</v>
      </c>
      <c r="EX25" s="119">
        <v>12922</v>
      </c>
      <c r="EZ25" s="43" t="s">
        <v>31</v>
      </c>
      <c r="FA25" s="117">
        <v>1568</v>
      </c>
      <c r="FB25" s="118">
        <v>1565</v>
      </c>
      <c r="FC25" s="119">
        <v>7235</v>
      </c>
      <c r="FE25" s="43" t="s">
        <v>31</v>
      </c>
      <c r="FF25" s="117">
        <v>875</v>
      </c>
      <c r="FG25" s="118">
        <v>312</v>
      </c>
      <c r="FH25" s="119">
        <v>1264</v>
      </c>
      <c r="FJ25" s="43" t="s">
        <v>31</v>
      </c>
      <c r="FK25" s="117">
        <v>50</v>
      </c>
      <c r="FL25" s="118">
        <v>36</v>
      </c>
      <c r="FM25" s="119">
        <v>201</v>
      </c>
      <c r="FO25" s="43" t="s">
        <v>31</v>
      </c>
      <c r="FP25" s="117">
        <v>130036</v>
      </c>
      <c r="FQ25" s="118">
        <v>67435</v>
      </c>
      <c r="FR25" s="119">
        <v>116008</v>
      </c>
      <c r="FT25" s="43" t="s">
        <v>31</v>
      </c>
      <c r="FU25" s="117">
        <v>15316</v>
      </c>
      <c r="FV25" s="118">
        <v>12150</v>
      </c>
      <c r="FW25" s="119">
        <v>17755</v>
      </c>
      <c r="FY25" s="43" t="s">
        <v>31</v>
      </c>
      <c r="FZ25" s="117">
        <v>921</v>
      </c>
      <c r="GA25" s="118">
        <v>838</v>
      </c>
      <c r="GB25" s="119">
        <v>1860</v>
      </c>
    </row>
    <row r="26" spans="1:184" ht="15">
      <c r="A26" s="43" t="s">
        <v>32</v>
      </c>
      <c r="B26" s="117">
        <v>307030</v>
      </c>
      <c r="C26" s="118">
        <v>192738</v>
      </c>
      <c r="D26" s="119">
        <v>326221</v>
      </c>
      <c r="F26" s="43" t="s">
        <v>32</v>
      </c>
      <c r="G26" s="117">
        <v>453952</v>
      </c>
      <c r="H26" s="118">
        <v>436785</v>
      </c>
      <c r="I26" s="119">
        <v>798980</v>
      </c>
      <c r="K26" s="43" t="s">
        <v>32</v>
      </c>
      <c r="L26" s="117">
        <v>521388</v>
      </c>
      <c r="M26" s="118">
        <v>285143</v>
      </c>
      <c r="N26" s="119">
        <v>448317</v>
      </c>
      <c r="P26" s="43" t="s">
        <v>32</v>
      </c>
      <c r="Q26" s="117">
        <v>11302</v>
      </c>
      <c r="R26" s="118">
        <v>10264</v>
      </c>
      <c r="S26" s="119">
        <v>26590</v>
      </c>
      <c r="U26" s="43" t="s">
        <v>32</v>
      </c>
      <c r="V26" s="117">
        <v>158</v>
      </c>
      <c r="W26" s="118">
        <v>343</v>
      </c>
      <c r="X26" s="119">
        <v>1341</v>
      </c>
      <c r="Z26" s="43" t="s">
        <v>32</v>
      </c>
      <c r="AA26" s="117">
        <v>1431</v>
      </c>
      <c r="AB26" s="118">
        <v>999</v>
      </c>
      <c r="AC26" s="119">
        <v>2372</v>
      </c>
      <c r="AE26" s="43" t="s">
        <v>32</v>
      </c>
      <c r="AF26" s="117">
        <v>7990</v>
      </c>
      <c r="AG26" s="118">
        <v>8746</v>
      </c>
      <c r="AH26" s="119">
        <v>23963</v>
      </c>
      <c r="AJ26" s="43" t="s">
        <v>32</v>
      </c>
      <c r="AK26" s="117">
        <v>217</v>
      </c>
      <c r="AL26" s="118">
        <v>1559</v>
      </c>
      <c r="AM26" s="119">
        <v>4783</v>
      </c>
      <c r="AO26" s="43" t="s">
        <v>32</v>
      </c>
      <c r="AP26" s="117">
        <v>423</v>
      </c>
      <c r="AQ26" s="118">
        <v>3634</v>
      </c>
      <c r="AR26" s="119">
        <v>12100</v>
      </c>
      <c r="AT26" s="43" t="s">
        <v>32</v>
      </c>
      <c r="AU26" s="117">
        <v>911</v>
      </c>
      <c r="AV26" s="118">
        <v>2040</v>
      </c>
      <c r="AW26" s="119">
        <v>5557</v>
      </c>
      <c r="AY26" s="43" t="s">
        <v>32</v>
      </c>
      <c r="AZ26" s="117">
        <v>155</v>
      </c>
      <c r="BA26" s="118">
        <v>3789</v>
      </c>
      <c r="BB26" s="119">
        <v>12590</v>
      </c>
      <c r="BD26" s="43" t="s">
        <v>32</v>
      </c>
      <c r="BE26" s="117">
        <v>1227</v>
      </c>
      <c r="BF26" s="118">
        <v>740</v>
      </c>
      <c r="BG26" s="119">
        <v>1209</v>
      </c>
      <c r="BI26" s="43" t="s">
        <v>32</v>
      </c>
      <c r="BJ26" s="117">
        <v>11133</v>
      </c>
      <c r="BK26" s="118">
        <v>6589</v>
      </c>
      <c r="BL26" s="119">
        <v>12423</v>
      </c>
      <c r="BN26" s="43" t="s">
        <v>32</v>
      </c>
      <c r="BO26" s="117">
        <v>5610</v>
      </c>
      <c r="BP26" s="118">
        <v>1936</v>
      </c>
      <c r="BQ26" s="119">
        <v>4821</v>
      </c>
      <c r="BS26" s="43" t="s">
        <v>32</v>
      </c>
      <c r="BT26" s="117">
        <v>816</v>
      </c>
      <c r="BU26" s="118">
        <v>599</v>
      </c>
      <c r="BV26" s="119">
        <v>399</v>
      </c>
      <c r="BX26" s="43" t="s">
        <v>32</v>
      </c>
      <c r="BY26" s="117">
        <v>50659</v>
      </c>
      <c r="BZ26" s="118">
        <v>26476</v>
      </c>
      <c r="CA26" s="119">
        <v>74657</v>
      </c>
      <c r="CB26" s="30"/>
      <c r="CC26" s="43" t="s">
        <v>32</v>
      </c>
      <c r="CD26" s="117">
        <v>649</v>
      </c>
      <c r="CE26" s="118">
        <v>2107</v>
      </c>
      <c r="CF26" s="119">
        <v>8175</v>
      </c>
      <c r="CG26" s="30"/>
      <c r="CH26" s="43" t="s">
        <v>32</v>
      </c>
      <c r="CI26" s="117">
        <v>72</v>
      </c>
      <c r="CJ26" s="118">
        <v>44</v>
      </c>
      <c r="CK26" s="119">
        <v>84</v>
      </c>
      <c r="CL26" s="30"/>
      <c r="CM26" s="43" t="s">
        <v>32</v>
      </c>
      <c r="CN26" s="117">
        <v>45</v>
      </c>
      <c r="CO26" s="118">
        <v>31</v>
      </c>
      <c r="CP26" s="119">
        <v>60</v>
      </c>
      <c r="CR26" s="43" t="s">
        <v>32</v>
      </c>
      <c r="CS26" s="117">
        <v>91</v>
      </c>
      <c r="CT26" s="118">
        <v>53</v>
      </c>
      <c r="CU26" s="119">
        <v>101</v>
      </c>
      <c r="CW26" s="43" t="s">
        <v>32</v>
      </c>
      <c r="CX26" s="117">
        <v>69</v>
      </c>
      <c r="CY26" s="118">
        <v>53</v>
      </c>
      <c r="CZ26" s="119">
        <v>63</v>
      </c>
      <c r="DB26" s="43" t="s">
        <v>32</v>
      </c>
      <c r="DC26" s="117">
        <v>1745</v>
      </c>
      <c r="DD26" s="118">
        <v>1251</v>
      </c>
      <c r="DE26" s="119">
        <v>2347</v>
      </c>
      <c r="DG26" s="43" t="s">
        <v>32</v>
      </c>
      <c r="DH26" s="117">
        <v>243</v>
      </c>
      <c r="DI26" s="118">
        <v>1071</v>
      </c>
      <c r="DJ26" s="119">
        <v>4447</v>
      </c>
      <c r="DL26" s="43" t="s">
        <v>32</v>
      </c>
      <c r="DM26" s="117">
        <v>72</v>
      </c>
      <c r="DN26" s="118">
        <v>52</v>
      </c>
      <c r="DO26" s="119">
        <v>114</v>
      </c>
      <c r="DQ26" s="43" t="s">
        <v>32</v>
      </c>
      <c r="DR26" s="117">
        <v>26232</v>
      </c>
      <c r="DS26" s="118">
        <v>20468</v>
      </c>
      <c r="DT26" s="119">
        <v>40006</v>
      </c>
      <c r="DV26" s="43" t="s">
        <v>32</v>
      </c>
      <c r="DW26" s="117">
        <v>57764</v>
      </c>
      <c r="DX26" s="118">
        <v>40285</v>
      </c>
      <c r="DY26" s="119">
        <v>65882</v>
      </c>
      <c r="EA26" s="43" t="s">
        <v>32</v>
      </c>
      <c r="EB26" s="117">
        <v>6180</v>
      </c>
      <c r="EC26" s="118">
        <v>4653</v>
      </c>
      <c r="ED26" s="119">
        <v>11512</v>
      </c>
      <c r="EF26" s="43" t="s">
        <v>32</v>
      </c>
      <c r="EG26" s="117">
        <v>15929</v>
      </c>
      <c r="EH26" s="118">
        <v>5489</v>
      </c>
      <c r="EI26" s="119">
        <v>13600</v>
      </c>
      <c r="EK26" s="43" t="s">
        <v>32</v>
      </c>
      <c r="EL26" s="117">
        <v>1807</v>
      </c>
      <c r="EM26" s="118">
        <v>1853</v>
      </c>
      <c r="EN26" s="119">
        <v>11028</v>
      </c>
      <c r="EP26" s="43" t="s">
        <v>32</v>
      </c>
      <c r="EQ26" s="117">
        <v>4777</v>
      </c>
      <c r="ER26" s="118">
        <v>4850</v>
      </c>
      <c r="ES26" s="119">
        <v>11382</v>
      </c>
      <c r="EU26" s="43" t="s">
        <v>32</v>
      </c>
      <c r="EV26" s="117">
        <v>4822</v>
      </c>
      <c r="EW26" s="118">
        <v>4551</v>
      </c>
      <c r="EX26" s="119">
        <v>13285</v>
      </c>
      <c r="EZ26" s="43" t="s">
        <v>32</v>
      </c>
      <c r="FA26" s="117">
        <v>1769</v>
      </c>
      <c r="FB26" s="118">
        <v>1887</v>
      </c>
      <c r="FC26" s="119">
        <v>7689</v>
      </c>
      <c r="FE26" s="43" t="s">
        <v>32</v>
      </c>
      <c r="FF26" s="117">
        <v>1142</v>
      </c>
      <c r="FG26" s="118">
        <v>823</v>
      </c>
      <c r="FH26" s="119">
        <v>1206</v>
      </c>
      <c r="FJ26" s="43" t="s">
        <v>32</v>
      </c>
      <c r="FK26" s="117">
        <v>36</v>
      </c>
      <c r="FL26" s="118">
        <v>39</v>
      </c>
      <c r="FM26" s="119">
        <v>207</v>
      </c>
      <c r="FO26" s="43" t="s">
        <v>32</v>
      </c>
      <c r="FP26" s="117">
        <v>124684</v>
      </c>
      <c r="FQ26" s="118">
        <v>61419</v>
      </c>
      <c r="FR26" s="119">
        <v>110518</v>
      </c>
      <c r="FT26" s="43" t="s">
        <v>32</v>
      </c>
      <c r="FU26" s="117">
        <v>16000</v>
      </c>
      <c r="FV26" s="118">
        <v>10583</v>
      </c>
      <c r="FW26" s="119">
        <v>16910</v>
      </c>
      <c r="FY26" s="43" t="s">
        <v>32</v>
      </c>
      <c r="FZ26" s="117">
        <v>876</v>
      </c>
      <c r="GA26" s="118">
        <v>823</v>
      </c>
      <c r="GB26" s="119">
        <v>1841</v>
      </c>
    </row>
    <row r="27" spans="1:184" ht="15">
      <c r="A27" s="43" t="s">
        <v>33</v>
      </c>
      <c r="B27" s="117">
        <v>218488</v>
      </c>
      <c r="C27" s="118">
        <v>166348</v>
      </c>
      <c r="D27" s="119">
        <v>261210</v>
      </c>
      <c r="F27" s="43" t="s">
        <v>33</v>
      </c>
      <c r="G27" s="117">
        <v>335868</v>
      </c>
      <c r="H27" s="118">
        <v>379021</v>
      </c>
      <c r="I27" s="119">
        <v>666115</v>
      </c>
      <c r="K27" s="43" t="s">
        <v>33</v>
      </c>
      <c r="L27" s="117">
        <v>391820</v>
      </c>
      <c r="M27" s="118">
        <v>257984</v>
      </c>
      <c r="N27" s="119">
        <v>361159</v>
      </c>
      <c r="P27" s="43" t="s">
        <v>33</v>
      </c>
      <c r="Q27" s="117">
        <v>11878</v>
      </c>
      <c r="R27" s="118">
        <v>11852</v>
      </c>
      <c r="S27" s="119">
        <v>25662</v>
      </c>
      <c r="U27" s="43" t="s">
        <v>33</v>
      </c>
      <c r="V27" s="117">
        <v>219</v>
      </c>
      <c r="W27" s="118">
        <v>476</v>
      </c>
      <c r="X27" s="119">
        <v>1358</v>
      </c>
      <c r="Z27" s="43" t="s">
        <v>33</v>
      </c>
      <c r="AA27" s="117">
        <v>1478</v>
      </c>
      <c r="AB27" s="118">
        <v>1256</v>
      </c>
      <c r="AC27" s="119">
        <v>2592</v>
      </c>
      <c r="AE27" s="43" t="s">
        <v>33</v>
      </c>
      <c r="AF27" s="117">
        <v>7163</v>
      </c>
      <c r="AG27" s="118">
        <v>10567</v>
      </c>
      <c r="AH27" s="119">
        <v>23440</v>
      </c>
      <c r="AJ27" s="43" t="s">
        <v>33</v>
      </c>
      <c r="AK27" s="117">
        <v>248</v>
      </c>
      <c r="AL27" s="118">
        <v>2139</v>
      </c>
      <c r="AM27" s="119">
        <v>5029</v>
      </c>
      <c r="AO27" s="43" t="s">
        <v>33</v>
      </c>
      <c r="AP27" s="117">
        <v>366</v>
      </c>
      <c r="AQ27" s="118">
        <v>4996</v>
      </c>
      <c r="AR27" s="119">
        <v>12760</v>
      </c>
      <c r="AT27" s="43" t="s">
        <v>33</v>
      </c>
      <c r="AU27" s="117">
        <v>697</v>
      </c>
      <c r="AV27" s="118">
        <v>2455</v>
      </c>
      <c r="AW27" s="119">
        <v>5515</v>
      </c>
      <c r="AY27" s="43" t="s">
        <v>33</v>
      </c>
      <c r="AZ27" s="117">
        <v>221</v>
      </c>
      <c r="BA27" s="118">
        <v>5228</v>
      </c>
      <c r="BB27" s="119">
        <v>12893</v>
      </c>
      <c r="BD27" s="43" t="s">
        <v>33</v>
      </c>
      <c r="BE27" s="117">
        <v>948</v>
      </c>
      <c r="BF27" s="118">
        <v>681</v>
      </c>
      <c r="BG27" s="119">
        <v>901</v>
      </c>
      <c r="BI27" s="43" t="s">
        <v>33</v>
      </c>
      <c r="BJ27" s="117">
        <v>8540</v>
      </c>
      <c r="BK27" s="118">
        <v>6127</v>
      </c>
      <c r="BL27" s="119">
        <v>10337</v>
      </c>
      <c r="BN27" s="43" t="s">
        <v>33</v>
      </c>
      <c r="BO27" s="117">
        <v>3358</v>
      </c>
      <c r="BP27" s="118">
        <v>1213</v>
      </c>
      <c r="BQ27" s="119">
        <v>2096</v>
      </c>
      <c r="BS27" s="43" t="s">
        <v>33</v>
      </c>
      <c r="BT27" s="117">
        <v>868</v>
      </c>
      <c r="BU27" s="118">
        <v>636</v>
      </c>
      <c r="BV27" s="119">
        <v>424</v>
      </c>
      <c r="BX27" s="43" t="s">
        <v>33</v>
      </c>
      <c r="BY27" s="117">
        <v>28768</v>
      </c>
      <c r="BZ27" s="118">
        <v>25790</v>
      </c>
      <c r="CA27" s="119">
        <v>69779</v>
      </c>
      <c r="CB27" s="30"/>
      <c r="CC27" s="43" t="s">
        <v>33</v>
      </c>
      <c r="CD27" s="117">
        <v>602</v>
      </c>
      <c r="CE27" s="118">
        <v>2442</v>
      </c>
      <c r="CF27" s="119">
        <v>8173</v>
      </c>
      <c r="CG27" s="30"/>
      <c r="CH27" s="43" t="s">
        <v>33</v>
      </c>
      <c r="CI27" s="117"/>
      <c r="CJ27" s="118"/>
      <c r="CK27" s="119"/>
      <c r="CL27" s="30"/>
      <c r="CM27" s="43" t="s">
        <v>33</v>
      </c>
      <c r="CN27" s="117"/>
      <c r="CO27" s="118"/>
      <c r="CP27" s="119"/>
      <c r="CR27" s="43" t="s">
        <v>33</v>
      </c>
      <c r="CS27" s="117">
        <v>112</v>
      </c>
      <c r="CT27" s="118">
        <v>58</v>
      </c>
      <c r="CU27" s="119">
        <v>96</v>
      </c>
      <c r="CW27" s="43" t="s">
        <v>33</v>
      </c>
      <c r="CX27" s="117">
        <v>67</v>
      </c>
      <c r="CY27" s="118">
        <v>51</v>
      </c>
      <c r="CZ27" s="119">
        <v>61</v>
      </c>
      <c r="DB27" s="43" t="s">
        <v>33</v>
      </c>
      <c r="DC27" s="117">
        <v>715</v>
      </c>
      <c r="DD27" s="118">
        <v>649</v>
      </c>
      <c r="DE27" s="119">
        <v>944</v>
      </c>
      <c r="DG27" s="43" t="s">
        <v>33</v>
      </c>
      <c r="DH27" s="117">
        <v>295</v>
      </c>
      <c r="DI27" s="118">
        <v>1503</v>
      </c>
      <c r="DJ27" s="119">
        <v>4507</v>
      </c>
      <c r="DL27" s="43" t="s">
        <v>33</v>
      </c>
      <c r="DM27" s="117">
        <v>69</v>
      </c>
      <c r="DN27" s="118">
        <v>58</v>
      </c>
      <c r="DO27" s="119">
        <v>111</v>
      </c>
      <c r="DQ27" s="43" t="s">
        <v>33</v>
      </c>
      <c r="DR27" s="117">
        <v>18480</v>
      </c>
      <c r="DS27" s="118">
        <v>16018</v>
      </c>
      <c r="DT27" s="119">
        <v>27189</v>
      </c>
      <c r="DV27" s="43" t="s">
        <v>33</v>
      </c>
      <c r="DW27" s="117">
        <v>45858</v>
      </c>
      <c r="DX27" s="118">
        <v>35915</v>
      </c>
      <c r="DY27" s="119">
        <v>56099</v>
      </c>
      <c r="EA27" s="43" t="s">
        <v>33</v>
      </c>
      <c r="EB27" s="117">
        <v>4306</v>
      </c>
      <c r="EC27" s="118">
        <v>4839</v>
      </c>
      <c r="ED27" s="119">
        <v>10751</v>
      </c>
      <c r="EF27" s="43" t="s">
        <v>33</v>
      </c>
      <c r="EG27" s="117">
        <v>11603</v>
      </c>
      <c r="EH27" s="118">
        <v>5801</v>
      </c>
      <c r="EI27" s="119">
        <v>12756</v>
      </c>
      <c r="EK27" s="43" t="s">
        <v>33</v>
      </c>
      <c r="EL27" s="117">
        <v>1875</v>
      </c>
      <c r="EM27" s="118">
        <v>2735</v>
      </c>
      <c r="EN27" s="119">
        <v>11166</v>
      </c>
      <c r="EP27" s="43" t="s">
        <v>33</v>
      </c>
      <c r="EQ27" s="117">
        <v>4689</v>
      </c>
      <c r="ER27" s="118">
        <v>5833</v>
      </c>
      <c r="ES27" s="119">
        <v>11118</v>
      </c>
      <c r="EU27" s="43" t="s">
        <v>33</v>
      </c>
      <c r="EV27" s="117">
        <v>4803</v>
      </c>
      <c r="EW27" s="118">
        <v>5579</v>
      </c>
      <c r="EX27" s="119">
        <v>13319</v>
      </c>
      <c r="EZ27" s="43" t="s">
        <v>33</v>
      </c>
      <c r="FA27" s="117">
        <v>1516</v>
      </c>
      <c r="FB27" s="118">
        <v>2427</v>
      </c>
      <c r="FC27" s="119">
        <v>7560</v>
      </c>
      <c r="FE27" s="43" t="s">
        <v>33</v>
      </c>
      <c r="FF27" s="117">
        <v>855</v>
      </c>
      <c r="FG27" s="118">
        <v>338</v>
      </c>
      <c r="FH27" s="119">
        <v>1272</v>
      </c>
      <c r="FJ27" s="43" t="s">
        <v>33</v>
      </c>
      <c r="FK27" s="117">
        <v>32</v>
      </c>
      <c r="FL27" s="118">
        <v>39</v>
      </c>
      <c r="FM27" s="119">
        <v>198</v>
      </c>
      <c r="FO27" s="43" t="s">
        <v>33</v>
      </c>
      <c r="FP27" s="117">
        <v>100165</v>
      </c>
      <c r="FQ27" s="118">
        <v>52702</v>
      </c>
      <c r="FR27" s="119">
        <v>94265</v>
      </c>
      <c r="FT27" s="43" t="s">
        <v>33</v>
      </c>
      <c r="FU27" s="117">
        <v>11884</v>
      </c>
      <c r="FV27" s="118">
        <v>9431</v>
      </c>
      <c r="FW27" s="119">
        <v>12259</v>
      </c>
      <c r="FY27" s="43" t="s">
        <v>33</v>
      </c>
      <c r="FZ27" s="117">
        <v>594</v>
      </c>
      <c r="GA27" s="118">
        <v>795</v>
      </c>
      <c r="GB27" s="119">
        <v>1553</v>
      </c>
    </row>
    <row r="28" spans="1:184" ht="15">
      <c r="A28" s="43" t="s">
        <v>34</v>
      </c>
      <c r="B28" s="117">
        <v>214227</v>
      </c>
      <c r="C28" s="118">
        <v>145861</v>
      </c>
      <c r="D28" s="119">
        <v>265270</v>
      </c>
      <c r="F28" s="43" t="s">
        <v>34</v>
      </c>
      <c r="G28" s="117">
        <v>304348</v>
      </c>
      <c r="H28" s="118">
        <v>327485</v>
      </c>
      <c r="I28" s="119">
        <v>641325</v>
      </c>
      <c r="K28" s="43" t="s">
        <v>34</v>
      </c>
      <c r="L28" s="117">
        <v>359076</v>
      </c>
      <c r="M28" s="118">
        <v>215871</v>
      </c>
      <c r="N28" s="119">
        <v>347412</v>
      </c>
      <c r="P28" s="43" t="s">
        <v>34</v>
      </c>
      <c r="Q28" s="117">
        <v>12060</v>
      </c>
      <c r="R28" s="118">
        <v>11346</v>
      </c>
      <c r="S28" s="119">
        <v>25787</v>
      </c>
      <c r="U28" s="43" t="s">
        <v>34</v>
      </c>
      <c r="V28" s="117">
        <v>316</v>
      </c>
      <c r="W28" s="118">
        <v>608</v>
      </c>
      <c r="X28" s="119">
        <v>1469</v>
      </c>
      <c r="Z28" s="43" t="s">
        <v>34</v>
      </c>
      <c r="AA28" s="117">
        <v>1788</v>
      </c>
      <c r="AB28" s="118">
        <v>1530</v>
      </c>
      <c r="AC28" s="119">
        <v>3251</v>
      </c>
      <c r="AE28" s="43" t="s">
        <v>34</v>
      </c>
      <c r="AF28" s="117">
        <v>8326</v>
      </c>
      <c r="AG28" s="118">
        <v>12064</v>
      </c>
      <c r="AH28" s="119">
        <v>25759</v>
      </c>
      <c r="AJ28" s="43" t="s">
        <v>34</v>
      </c>
      <c r="AK28" s="117">
        <v>1124</v>
      </c>
      <c r="AL28" s="118">
        <v>2631</v>
      </c>
      <c r="AM28" s="119">
        <v>5585</v>
      </c>
      <c r="AO28" s="43" t="s">
        <v>34</v>
      </c>
      <c r="AP28" s="117">
        <v>1594</v>
      </c>
      <c r="AQ28" s="118">
        <v>6170</v>
      </c>
      <c r="AR28" s="119">
        <v>14139</v>
      </c>
      <c r="AT28" s="43" t="s">
        <v>34</v>
      </c>
      <c r="AU28" s="117">
        <v>1568</v>
      </c>
      <c r="AV28" s="118">
        <v>2940</v>
      </c>
      <c r="AW28" s="119">
        <v>6161</v>
      </c>
      <c r="AY28" s="43" t="s">
        <v>34</v>
      </c>
      <c r="AZ28" s="117">
        <v>1455</v>
      </c>
      <c r="BA28" s="118">
        <v>6340</v>
      </c>
      <c r="BB28" s="119">
        <v>13957</v>
      </c>
      <c r="BD28" s="43" t="s">
        <v>34</v>
      </c>
      <c r="BE28" s="117">
        <v>1462</v>
      </c>
      <c r="BF28" s="118">
        <v>1014</v>
      </c>
      <c r="BG28" s="119">
        <v>1352</v>
      </c>
      <c r="BI28" s="43" t="s">
        <v>34</v>
      </c>
      <c r="BJ28" s="117">
        <v>9695</v>
      </c>
      <c r="BK28" s="118">
        <v>6387</v>
      </c>
      <c r="BL28" s="119">
        <v>11789</v>
      </c>
      <c r="BN28" s="43" t="s">
        <v>34</v>
      </c>
      <c r="BO28" s="117">
        <v>489</v>
      </c>
      <c r="BP28" s="118">
        <v>149</v>
      </c>
      <c r="BQ28" s="119">
        <v>300</v>
      </c>
      <c r="BS28" s="43" t="s">
        <v>34</v>
      </c>
      <c r="BT28" s="117">
        <v>897</v>
      </c>
      <c r="BU28" s="118">
        <v>658</v>
      </c>
      <c r="BV28" s="119">
        <v>438</v>
      </c>
      <c r="BX28" s="43" t="s">
        <v>34</v>
      </c>
      <c r="BY28" s="117">
        <v>23271</v>
      </c>
      <c r="BZ28" s="118">
        <v>26758</v>
      </c>
      <c r="CA28" s="119">
        <v>73023</v>
      </c>
      <c r="CB28" s="30"/>
      <c r="CC28" s="43" t="s">
        <v>34</v>
      </c>
      <c r="CD28" s="117">
        <v>905</v>
      </c>
      <c r="CE28" s="118">
        <v>2845</v>
      </c>
      <c r="CF28" s="119">
        <v>9032</v>
      </c>
      <c r="CG28" s="30"/>
      <c r="CH28" s="43" t="s">
        <v>34</v>
      </c>
      <c r="CI28" s="117">
        <v>154</v>
      </c>
      <c r="CJ28" s="118">
        <v>93</v>
      </c>
      <c r="CK28" s="119">
        <v>162</v>
      </c>
      <c r="CL28" s="30"/>
      <c r="CM28" s="43" t="s">
        <v>34</v>
      </c>
      <c r="CN28" s="117">
        <v>91</v>
      </c>
      <c r="CO28" s="118">
        <v>66</v>
      </c>
      <c r="CP28" s="119">
        <v>117</v>
      </c>
      <c r="CR28" s="43" t="s">
        <v>34</v>
      </c>
      <c r="CS28" s="117">
        <v>103</v>
      </c>
      <c r="CT28" s="118">
        <v>56</v>
      </c>
      <c r="CU28" s="119">
        <v>104</v>
      </c>
      <c r="CW28" s="43" t="s">
        <v>34</v>
      </c>
      <c r="CX28" s="117">
        <v>69</v>
      </c>
      <c r="CY28" s="118">
        <v>53</v>
      </c>
      <c r="CZ28" s="119">
        <v>63</v>
      </c>
      <c r="DB28" s="43" t="s">
        <v>34</v>
      </c>
      <c r="DC28" s="117">
        <v>975</v>
      </c>
      <c r="DD28" s="118">
        <v>724</v>
      </c>
      <c r="DE28" s="119">
        <v>1350</v>
      </c>
      <c r="DG28" s="43" t="s">
        <v>34</v>
      </c>
      <c r="DH28" s="117">
        <v>522</v>
      </c>
      <c r="DI28" s="118">
        <v>1938</v>
      </c>
      <c r="DJ28" s="119">
        <v>5059</v>
      </c>
      <c r="DL28" s="43" t="s">
        <v>34</v>
      </c>
      <c r="DM28" s="117">
        <v>74</v>
      </c>
      <c r="DN28" s="118">
        <v>56</v>
      </c>
      <c r="DO28" s="119">
        <v>120</v>
      </c>
      <c r="DQ28" s="43" t="s">
        <v>34</v>
      </c>
      <c r="DR28" s="117">
        <v>16657</v>
      </c>
      <c r="DS28" s="118">
        <v>13373</v>
      </c>
      <c r="DT28" s="119">
        <v>24483</v>
      </c>
      <c r="DV28" s="43" t="s">
        <v>34</v>
      </c>
      <c r="DW28" s="117">
        <v>44492</v>
      </c>
      <c r="DX28" s="118">
        <v>30979</v>
      </c>
      <c r="DY28" s="119">
        <v>55531</v>
      </c>
      <c r="EA28" s="43" t="s">
        <v>34</v>
      </c>
      <c r="EB28" s="117">
        <v>4089</v>
      </c>
      <c r="EC28" s="118">
        <v>5410</v>
      </c>
      <c r="ED28" s="119">
        <v>12186</v>
      </c>
      <c r="EF28" s="43" t="s">
        <v>34</v>
      </c>
      <c r="EG28" s="117">
        <v>9371</v>
      </c>
      <c r="EH28" s="118">
        <v>5990</v>
      </c>
      <c r="EI28" s="119">
        <v>13534</v>
      </c>
      <c r="EK28" s="43" t="s">
        <v>34</v>
      </c>
      <c r="EL28" s="117">
        <v>2431</v>
      </c>
      <c r="EM28" s="118">
        <v>3459</v>
      </c>
      <c r="EN28" s="119">
        <v>12118</v>
      </c>
      <c r="EP28" s="43" t="s">
        <v>34</v>
      </c>
      <c r="EQ28" s="117">
        <v>5542</v>
      </c>
      <c r="ER28" s="118">
        <v>6262</v>
      </c>
      <c r="ES28" s="119">
        <v>13139</v>
      </c>
      <c r="EU28" s="43" t="s">
        <v>34</v>
      </c>
      <c r="EV28" s="117">
        <v>5265</v>
      </c>
      <c r="EW28" s="118">
        <v>5982</v>
      </c>
      <c r="EX28" s="119">
        <v>14351</v>
      </c>
      <c r="EZ28" s="43" t="s">
        <v>34</v>
      </c>
      <c r="FA28" s="117">
        <v>1905</v>
      </c>
      <c r="FB28" s="118">
        <v>3040</v>
      </c>
      <c r="FC28" s="119">
        <v>8891</v>
      </c>
      <c r="FE28" s="43" t="s">
        <v>34</v>
      </c>
      <c r="FF28" s="117">
        <v>829</v>
      </c>
      <c r="FG28" s="118">
        <v>401</v>
      </c>
      <c r="FH28" s="119">
        <v>1460</v>
      </c>
      <c r="FJ28" s="43" t="s">
        <v>34</v>
      </c>
      <c r="FK28" s="117">
        <v>66</v>
      </c>
      <c r="FL28" s="118">
        <v>57</v>
      </c>
      <c r="FM28" s="119">
        <v>255</v>
      </c>
      <c r="FO28" s="43" t="s">
        <v>34</v>
      </c>
      <c r="FP28" s="117">
        <v>94310</v>
      </c>
      <c r="FQ28" s="118">
        <v>45873</v>
      </c>
      <c r="FR28" s="119">
        <v>98566</v>
      </c>
      <c r="FT28" s="43" t="s">
        <v>34</v>
      </c>
      <c r="FU28" s="117">
        <v>11853</v>
      </c>
      <c r="FV28" s="118">
        <v>7150</v>
      </c>
      <c r="FW28" s="119">
        <v>11409</v>
      </c>
      <c r="FY28" s="43" t="s">
        <v>34</v>
      </c>
      <c r="FZ28" s="117">
        <v>611</v>
      </c>
      <c r="GA28" s="118">
        <v>771</v>
      </c>
      <c r="GB28" s="119">
        <v>1565</v>
      </c>
    </row>
    <row r="29" spans="1:184" ht="15">
      <c r="A29" s="43" t="s">
        <v>35</v>
      </c>
      <c r="B29" s="117">
        <v>179557</v>
      </c>
      <c r="C29" s="118">
        <v>124276</v>
      </c>
      <c r="D29" s="119">
        <v>235603</v>
      </c>
      <c r="F29" s="43" t="s">
        <v>35</v>
      </c>
      <c r="G29" s="117">
        <v>363300</v>
      </c>
      <c r="H29" s="118">
        <v>272619</v>
      </c>
      <c r="I29" s="119">
        <v>543725</v>
      </c>
      <c r="K29" s="43" t="s">
        <v>35</v>
      </c>
      <c r="L29" s="117">
        <v>316463</v>
      </c>
      <c r="M29" s="118">
        <v>184941</v>
      </c>
      <c r="N29" s="119">
        <v>310489</v>
      </c>
      <c r="P29" s="43" t="s">
        <v>35</v>
      </c>
      <c r="Q29" s="117">
        <v>14428</v>
      </c>
      <c r="R29" s="118">
        <v>12241</v>
      </c>
      <c r="S29" s="119">
        <v>27204</v>
      </c>
      <c r="U29" s="43" t="s">
        <v>35</v>
      </c>
      <c r="V29" s="117">
        <v>531</v>
      </c>
      <c r="W29" s="118">
        <v>649</v>
      </c>
      <c r="X29" s="119">
        <v>1468</v>
      </c>
      <c r="Z29" s="43" t="s">
        <v>35</v>
      </c>
      <c r="AA29" s="117">
        <v>3867</v>
      </c>
      <c r="AB29" s="118">
        <v>2258</v>
      </c>
      <c r="AC29" s="119">
        <v>3628</v>
      </c>
      <c r="AE29" s="43" t="s">
        <v>35</v>
      </c>
      <c r="AF29" s="117">
        <v>11166</v>
      </c>
      <c r="AG29" s="118">
        <v>12812</v>
      </c>
      <c r="AH29" s="119">
        <v>26784</v>
      </c>
      <c r="AJ29" s="43" t="s">
        <v>35</v>
      </c>
      <c r="AK29" s="117">
        <v>2501</v>
      </c>
      <c r="AL29" s="118">
        <v>2930</v>
      </c>
      <c r="AM29" s="119">
        <v>5878</v>
      </c>
      <c r="AO29" s="43" t="s">
        <v>35</v>
      </c>
      <c r="AP29" s="117">
        <v>3960</v>
      </c>
      <c r="AQ29" s="118">
        <v>6500</v>
      </c>
      <c r="AR29" s="119">
        <v>14378</v>
      </c>
      <c r="AT29" s="43" t="s">
        <v>35</v>
      </c>
      <c r="AU29" s="117">
        <v>3374</v>
      </c>
      <c r="AV29" s="118">
        <v>3590</v>
      </c>
      <c r="AW29" s="119">
        <v>7042</v>
      </c>
      <c r="AY29" s="43" t="s">
        <v>35</v>
      </c>
      <c r="AZ29" s="117">
        <v>3814</v>
      </c>
      <c r="BA29" s="118">
        <v>6377</v>
      </c>
      <c r="BB29" s="119">
        <v>13877</v>
      </c>
      <c r="BD29" s="43" t="s">
        <v>35</v>
      </c>
      <c r="BE29" s="117">
        <v>2017</v>
      </c>
      <c r="BF29" s="118">
        <v>1218</v>
      </c>
      <c r="BG29" s="119">
        <v>1666</v>
      </c>
      <c r="BI29" s="43" t="s">
        <v>35</v>
      </c>
      <c r="BJ29" s="117">
        <v>12158</v>
      </c>
      <c r="BK29" s="118">
        <v>7263</v>
      </c>
      <c r="BL29" s="119">
        <v>13380</v>
      </c>
      <c r="BN29" s="43" t="s">
        <v>35</v>
      </c>
      <c r="BO29" s="117">
        <v>226</v>
      </c>
      <c r="BP29" s="118">
        <v>130</v>
      </c>
      <c r="BQ29" s="119">
        <v>257</v>
      </c>
      <c r="BS29" s="43" t="s">
        <v>35</v>
      </c>
      <c r="BT29" s="117">
        <v>868</v>
      </c>
      <c r="BU29" s="118">
        <v>636</v>
      </c>
      <c r="BV29" s="119">
        <v>424</v>
      </c>
      <c r="BX29" s="43" t="s">
        <v>35</v>
      </c>
      <c r="BY29" s="117">
        <v>33982</v>
      </c>
      <c r="BZ29" s="118">
        <v>30022</v>
      </c>
      <c r="CA29" s="119">
        <v>78659</v>
      </c>
      <c r="CB29" s="30"/>
      <c r="CC29" s="43" t="s">
        <v>35</v>
      </c>
      <c r="CD29" s="117">
        <v>1361</v>
      </c>
      <c r="CE29" s="118">
        <v>2791</v>
      </c>
      <c r="CF29" s="119">
        <v>9014</v>
      </c>
      <c r="CG29" s="30"/>
      <c r="CH29" s="43" t="s">
        <v>35</v>
      </c>
      <c r="CI29" s="117">
        <v>88</v>
      </c>
      <c r="CJ29" s="118">
        <v>50</v>
      </c>
      <c r="CK29" s="119">
        <v>94</v>
      </c>
      <c r="CL29" s="30"/>
      <c r="CM29" s="43" t="s">
        <v>35</v>
      </c>
      <c r="CN29" s="117">
        <v>45</v>
      </c>
      <c r="CO29" s="118">
        <v>32</v>
      </c>
      <c r="CP29" s="119">
        <v>60</v>
      </c>
      <c r="CR29" s="43" t="s">
        <v>35</v>
      </c>
      <c r="CS29" s="117">
        <v>142</v>
      </c>
      <c r="CT29" s="118">
        <v>56</v>
      </c>
      <c r="CU29" s="119">
        <v>102</v>
      </c>
      <c r="CW29" s="43" t="s">
        <v>35</v>
      </c>
      <c r="CX29" s="117">
        <v>67</v>
      </c>
      <c r="CY29" s="118">
        <v>51</v>
      </c>
      <c r="CZ29" s="119">
        <v>61</v>
      </c>
      <c r="DB29" s="43" t="s">
        <v>35</v>
      </c>
      <c r="DC29" s="117">
        <v>1146</v>
      </c>
      <c r="DD29" s="118">
        <v>888</v>
      </c>
      <c r="DE29" s="119">
        <v>1633</v>
      </c>
      <c r="DG29" s="43" t="s">
        <v>35</v>
      </c>
      <c r="DH29" s="117">
        <v>1144</v>
      </c>
      <c r="DI29" s="118">
        <v>1987</v>
      </c>
      <c r="DJ29" s="119">
        <v>5226</v>
      </c>
      <c r="DL29" s="43" t="s">
        <v>35</v>
      </c>
      <c r="DM29" s="117">
        <v>71</v>
      </c>
      <c r="DN29" s="118">
        <v>55</v>
      </c>
      <c r="DO29" s="119">
        <v>119</v>
      </c>
      <c r="DQ29" s="43" t="s">
        <v>35</v>
      </c>
      <c r="DR29" s="117">
        <v>12920</v>
      </c>
      <c r="DS29" s="118">
        <v>11430</v>
      </c>
      <c r="DT29" s="119">
        <v>20656</v>
      </c>
      <c r="DV29" s="43" t="s">
        <v>35</v>
      </c>
      <c r="DW29" s="117">
        <v>32346</v>
      </c>
      <c r="DX29" s="118">
        <v>23910</v>
      </c>
      <c r="DY29" s="119">
        <v>43876</v>
      </c>
      <c r="EA29" s="43" t="s">
        <v>35</v>
      </c>
      <c r="EB29" s="117">
        <v>7011</v>
      </c>
      <c r="EC29" s="118">
        <v>5937</v>
      </c>
      <c r="ED29" s="119">
        <v>14174</v>
      </c>
      <c r="EF29" s="43" t="s">
        <v>35</v>
      </c>
      <c r="EG29" s="117">
        <v>10650</v>
      </c>
      <c r="EH29" s="118">
        <v>5814</v>
      </c>
      <c r="EI29" s="119">
        <v>13799</v>
      </c>
      <c r="EK29" s="43" t="s">
        <v>35</v>
      </c>
      <c r="EL29" s="117">
        <v>3109</v>
      </c>
      <c r="EM29" s="118">
        <v>3492</v>
      </c>
      <c r="EN29" s="119">
        <v>12255</v>
      </c>
      <c r="EP29" s="43" t="s">
        <v>35</v>
      </c>
      <c r="EQ29" s="117">
        <v>8455</v>
      </c>
      <c r="ER29" s="118">
        <v>6328</v>
      </c>
      <c r="ES29" s="119">
        <v>13962</v>
      </c>
      <c r="EU29" s="43" t="s">
        <v>35</v>
      </c>
      <c r="EV29" s="117">
        <v>5801</v>
      </c>
      <c r="EW29" s="118">
        <v>5935</v>
      </c>
      <c r="EX29" s="119">
        <v>14407</v>
      </c>
      <c r="EZ29" s="43" t="s">
        <v>35</v>
      </c>
      <c r="FA29" s="117">
        <v>4917</v>
      </c>
      <c r="FB29" s="118">
        <v>3211</v>
      </c>
      <c r="FC29" s="119">
        <v>9730</v>
      </c>
      <c r="FE29" s="43" t="s">
        <v>35</v>
      </c>
      <c r="FF29" s="117">
        <v>1045</v>
      </c>
      <c r="FG29" s="118">
        <v>526</v>
      </c>
      <c r="FH29" s="119">
        <v>2118</v>
      </c>
      <c r="FJ29" s="43" t="s">
        <v>35</v>
      </c>
      <c r="FK29" s="117">
        <v>73</v>
      </c>
      <c r="FL29" s="118">
        <v>64</v>
      </c>
      <c r="FM29" s="119">
        <v>340</v>
      </c>
      <c r="FO29" s="43" t="s">
        <v>35</v>
      </c>
      <c r="FP29" s="117">
        <v>83141</v>
      </c>
      <c r="FQ29" s="118">
        <v>43838</v>
      </c>
      <c r="FR29" s="119">
        <v>101079</v>
      </c>
      <c r="FT29" s="43" t="s">
        <v>35</v>
      </c>
      <c r="FU29" s="117">
        <v>8225</v>
      </c>
      <c r="FV29" s="118">
        <v>5653</v>
      </c>
      <c r="FW29" s="119">
        <v>8456</v>
      </c>
      <c r="FY29" s="43" t="s">
        <v>35</v>
      </c>
      <c r="FZ29" s="117">
        <v>997</v>
      </c>
      <c r="GA29" s="118">
        <v>1014.9999999999999</v>
      </c>
      <c r="GB29" s="119">
        <v>2029.9999999999998</v>
      </c>
    </row>
    <row r="30" spans="1:184" ht="15">
      <c r="A30" s="43" t="s">
        <v>36</v>
      </c>
      <c r="B30" s="117">
        <v>147749</v>
      </c>
      <c r="C30" s="118">
        <v>117726</v>
      </c>
      <c r="D30" s="119">
        <v>248537</v>
      </c>
      <c r="F30" s="43" t="s">
        <v>36</v>
      </c>
      <c r="G30" s="117">
        <v>312472</v>
      </c>
      <c r="H30" s="118">
        <v>270619</v>
      </c>
      <c r="I30" s="119">
        <v>560473</v>
      </c>
      <c r="K30" s="43" t="s">
        <v>36</v>
      </c>
      <c r="L30" s="117">
        <v>304548</v>
      </c>
      <c r="M30" s="118">
        <v>160293</v>
      </c>
      <c r="N30" s="119">
        <v>341085</v>
      </c>
      <c r="P30" s="43" t="s">
        <v>36</v>
      </c>
      <c r="Q30" s="117">
        <v>13600</v>
      </c>
      <c r="R30" s="118">
        <v>13270</v>
      </c>
      <c r="S30" s="119">
        <v>33977</v>
      </c>
      <c r="U30" s="43" t="s">
        <v>36</v>
      </c>
      <c r="V30" s="117">
        <v>549</v>
      </c>
      <c r="W30" s="118">
        <v>716</v>
      </c>
      <c r="X30" s="119">
        <v>1902</v>
      </c>
      <c r="Z30" s="43" t="s">
        <v>36</v>
      </c>
      <c r="AA30" s="117">
        <v>4807</v>
      </c>
      <c r="AB30" s="118">
        <v>2978</v>
      </c>
      <c r="AC30" s="119">
        <v>5143</v>
      </c>
      <c r="AE30" s="43" t="s">
        <v>36</v>
      </c>
      <c r="AF30" s="117">
        <v>11180</v>
      </c>
      <c r="AG30" s="118">
        <v>13503</v>
      </c>
      <c r="AH30" s="119">
        <v>32934</v>
      </c>
      <c r="AJ30" s="43" t="s">
        <v>36</v>
      </c>
      <c r="AK30" s="117">
        <v>2174</v>
      </c>
      <c r="AL30" s="118">
        <v>2836</v>
      </c>
      <c r="AM30" s="119">
        <v>6602</v>
      </c>
      <c r="AO30" s="43" t="s">
        <v>36</v>
      </c>
      <c r="AP30" s="117">
        <v>3785</v>
      </c>
      <c r="AQ30" s="118">
        <v>6748</v>
      </c>
      <c r="AR30" s="119">
        <v>16650</v>
      </c>
      <c r="AT30" s="43" t="s">
        <v>36</v>
      </c>
      <c r="AU30" s="117">
        <v>3387</v>
      </c>
      <c r="AV30" s="118">
        <v>3818</v>
      </c>
      <c r="AW30" s="119">
        <v>8844</v>
      </c>
      <c r="AY30" s="43" t="s">
        <v>36</v>
      </c>
      <c r="AZ30" s="117">
        <v>3462</v>
      </c>
      <c r="BA30" s="118">
        <v>6440</v>
      </c>
      <c r="BB30" s="119">
        <v>15778</v>
      </c>
      <c r="BD30" s="43" t="s">
        <v>36</v>
      </c>
      <c r="BE30" s="117">
        <v>2373</v>
      </c>
      <c r="BF30" s="118">
        <v>1683</v>
      </c>
      <c r="BG30" s="119">
        <v>2714</v>
      </c>
      <c r="BI30" s="43" t="s">
        <v>36</v>
      </c>
      <c r="BJ30" s="117">
        <v>11631</v>
      </c>
      <c r="BK30" s="118">
        <v>7781</v>
      </c>
      <c r="BL30" s="119">
        <v>17268</v>
      </c>
      <c r="BN30" s="43" t="s">
        <v>36</v>
      </c>
      <c r="BO30" s="117">
        <v>295</v>
      </c>
      <c r="BP30" s="118">
        <v>296</v>
      </c>
      <c r="BQ30" s="119">
        <v>296</v>
      </c>
      <c r="BS30" s="43" t="s">
        <v>36</v>
      </c>
      <c r="BT30" s="117">
        <v>897</v>
      </c>
      <c r="BU30" s="118">
        <v>658</v>
      </c>
      <c r="BV30" s="119">
        <v>438</v>
      </c>
      <c r="BX30" s="43" t="s">
        <v>36</v>
      </c>
      <c r="BY30" s="117">
        <v>37731</v>
      </c>
      <c r="BZ30" s="118">
        <v>37672</v>
      </c>
      <c r="CA30" s="119">
        <v>91536</v>
      </c>
      <c r="CB30" s="30"/>
      <c r="CC30" s="43" t="s">
        <v>36</v>
      </c>
      <c r="CD30" s="117">
        <v>1514</v>
      </c>
      <c r="CE30" s="118">
        <v>2955</v>
      </c>
      <c r="CF30" s="119">
        <v>9228</v>
      </c>
      <c r="CG30" s="30"/>
      <c r="CH30" s="43" t="s">
        <v>36</v>
      </c>
      <c r="CI30" s="117">
        <v>73</v>
      </c>
      <c r="CJ30" s="118">
        <v>45</v>
      </c>
      <c r="CK30" s="119">
        <v>84</v>
      </c>
      <c r="CL30" s="30"/>
      <c r="CM30" s="43" t="s">
        <v>36</v>
      </c>
      <c r="CN30" s="117">
        <v>39</v>
      </c>
      <c r="CO30" s="118">
        <v>30</v>
      </c>
      <c r="CP30" s="119">
        <v>57</v>
      </c>
      <c r="CR30" s="43" t="s">
        <v>36</v>
      </c>
      <c r="CS30" s="117">
        <v>108</v>
      </c>
      <c r="CT30" s="118">
        <v>53</v>
      </c>
      <c r="CU30" s="119">
        <v>108</v>
      </c>
      <c r="CW30" s="43" t="s">
        <v>36</v>
      </c>
      <c r="CX30" s="117">
        <v>69</v>
      </c>
      <c r="CY30" s="118">
        <v>53</v>
      </c>
      <c r="CZ30" s="119">
        <v>63</v>
      </c>
      <c r="DB30" s="43" t="s">
        <v>36</v>
      </c>
      <c r="DC30" s="117">
        <v>528</v>
      </c>
      <c r="DD30" s="118">
        <v>464</v>
      </c>
      <c r="DE30" s="119">
        <v>1152</v>
      </c>
      <c r="DG30" s="43" t="s">
        <v>36</v>
      </c>
      <c r="DH30" s="117">
        <v>1223</v>
      </c>
      <c r="DI30" s="118">
        <v>2201</v>
      </c>
      <c r="DJ30" s="119">
        <v>6003</v>
      </c>
      <c r="DL30" s="43" t="s">
        <v>36</v>
      </c>
      <c r="DM30" s="117">
        <v>447</v>
      </c>
      <c r="DN30" s="118">
        <v>411</v>
      </c>
      <c r="DO30" s="119">
        <v>903</v>
      </c>
      <c r="DQ30" s="43" t="s">
        <v>36</v>
      </c>
      <c r="DR30" s="117">
        <v>9973</v>
      </c>
      <c r="DS30" s="118">
        <v>10022</v>
      </c>
      <c r="DT30" s="119">
        <v>22108</v>
      </c>
      <c r="DV30" s="43" t="s">
        <v>36</v>
      </c>
      <c r="DW30" s="117">
        <v>24130</v>
      </c>
      <c r="DX30" s="118">
        <v>20333</v>
      </c>
      <c r="DY30" s="119">
        <v>41766</v>
      </c>
      <c r="EA30" s="43" t="s">
        <v>36</v>
      </c>
      <c r="EB30" s="117">
        <v>6561</v>
      </c>
      <c r="EC30" s="118">
        <v>6549</v>
      </c>
      <c r="ED30" s="119">
        <v>17331</v>
      </c>
      <c r="EF30" s="43" t="s">
        <v>36</v>
      </c>
      <c r="EG30" s="117">
        <v>8244</v>
      </c>
      <c r="EH30" s="118">
        <v>5866</v>
      </c>
      <c r="EI30" s="119">
        <v>15278</v>
      </c>
      <c r="EK30" s="43" t="s">
        <v>36</v>
      </c>
      <c r="EL30" s="117">
        <v>3266</v>
      </c>
      <c r="EM30" s="118">
        <v>3609</v>
      </c>
      <c r="EN30" s="119">
        <v>12555</v>
      </c>
      <c r="EP30" s="43" t="s">
        <v>36</v>
      </c>
      <c r="EQ30" s="117">
        <v>7864</v>
      </c>
      <c r="ER30" s="118">
        <v>6470</v>
      </c>
      <c r="ES30" s="119">
        <v>15803</v>
      </c>
      <c r="EU30" s="43" t="s">
        <v>36</v>
      </c>
      <c r="EV30" s="117">
        <v>5489</v>
      </c>
      <c r="EW30" s="118">
        <v>6106</v>
      </c>
      <c r="EX30" s="119">
        <v>16283</v>
      </c>
      <c r="EZ30" s="43" t="s">
        <v>36</v>
      </c>
      <c r="FA30" s="117">
        <v>4814</v>
      </c>
      <c r="FB30" s="118">
        <v>3363</v>
      </c>
      <c r="FC30" s="119">
        <v>10264</v>
      </c>
      <c r="FE30" s="43" t="s">
        <v>36</v>
      </c>
      <c r="FF30" s="117">
        <v>1139</v>
      </c>
      <c r="FG30" s="118">
        <v>821</v>
      </c>
      <c r="FH30" s="119">
        <v>1202</v>
      </c>
      <c r="FJ30" s="43" t="s">
        <v>36</v>
      </c>
      <c r="FK30" s="117">
        <v>60</v>
      </c>
      <c r="FL30" s="118">
        <v>54</v>
      </c>
      <c r="FM30" s="119">
        <v>323</v>
      </c>
      <c r="FO30" s="43" t="s">
        <v>36</v>
      </c>
      <c r="FP30" s="117">
        <v>68422</v>
      </c>
      <c r="FQ30" s="118">
        <v>44259</v>
      </c>
      <c r="FR30" s="119">
        <v>114047</v>
      </c>
      <c r="FT30" s="43" t="s">
        <v>36</v>
      </c>
      <c r="FU30" s="117">
        <v>6378</v>
      </c>
      <c r="FV30" s="118">
        <v>4407</v>
      </c>
      <c r="FW30" s="119">
        <v>7989</v>
      </c>
      <c r="FY30" s="43" t="s">
        <v>36</v>
      </c>
      <c r="FZ30" s="117">
        <v>1028</v>
      </c>
      <c r="GA30" s="118">
        <v>1132</v>
      </c>
      <c r="GB30" s="119">
        <v>2603</v>
      </c>
    </row>
    <row r="31" spans="1:184" ht="15">
      <c r="A31" s="147" t="s">
        <v>52</v>
      </c>
      <c r="B31" s="42">
        <f>SUM(B19:B30)</f>
        <v>2515119</v>
      </c>
      <c r="C31" s="42">
        <f>SUM(C19:C30)</f>
        <v>1750568</v>
      </c>
      <c r="D31" s="42">
        <f>SUM(D19:D30)</f>
        <v>3106288</v>
      </c>
      <c r="F31" s="147" t="s">
        <v>52</v>
      </c>
      <c r="G31" s="42">
        <f>SUM(G19:G30)</f>
        <v>4162199</v>
      </c>
      <c r="H31" s="42">
        <f>SUM(H19:H30)</f>
        <v>4044391</v>
      </c>
      <c r="I31" s="42">
        <f>SUM(I19:I30)</f>
        <v>7687550</v>
      </c>
      <c r="K31" s="147" t="s">
        <v>52</v>
      </c>
      <c r="L31" s="42">
        <f>SUM(L19:L30)</f>
        <v>4522855</v>
      </c>
      <c r="M31" s="42">
        <f>SUM(M19:M30)</f>
        <v>2669517</v>
      </c>
      <c r="N31" s="42">
        <f>SUM(N19:N30)</f>
        <v>4344406</v>
      </c>
      <c r="P31" s="147" t="s">
        <v>52</v>
      </c>
      <c r="Q31" s="42">
        <f>SUM(Q19:Q30)</f>
        <v>159125</v>
      </c>
      <c r="R31" s="42">
        <f>SUM(R19:R30)</f>
        <v>137006</v>
      </c>
      <c r="S31" s="42">
        <f>SUM(S19:S30)</f>
        <v>322559</v>
      </c>
      <c r="U31" s="147" t="s">
        <v>52</v>
      </c>
      <c r="V31" s="42">
        <f>SUM(V19:V30)</f>
        <v>4556</v>
      </c>
      <c r="W31" s="42">
        <f>SUM(W19:W30)</f>
        <v>5556</v>
      </c>
      <c r="X31" s="42">
        <f>SUM(X19:X30)</f>
        <v>15508</v>
      </c>
      <c r="Z31" s="147" t="s">
        <v>52</v>
      </c>
      <c r="AA31" s="42">
        <f>SUM(AA19:AA30)</f>
        <v>30956</v>
      </c>
      <c r="AB31" s="42">
        <f>SUM(AB19:AB30)</f>
        <v>19309</v>
      </c>
      <c r="AC31" s="42">
        <f>SUM(AC19:AC30)</f>
        <v>38693</v>
      </c>
      <c r="AE31" s="147" t="s">
        <v>52</v>
      </c>
      <c r="AF31" s="42">
        <f>SUM(AF19:AF30)</f>
        <v>102442</v>
      </c>
      <c r="AG31" s="42">
        <f>SUM(AG19:AG30)</f>
        <v>123965</v>
      </c>
      <c r="AH31" s="42">
        <f>SUM(AH19:AH30)</f>
        <v>297531</v>
      </c>
      <c r="AJ31" s="147" t="s">
        <v>52</v>
      </c>
      <c r="AK31" s="42">
        <f>SUM(AK19:AK30)</f>
        <v>9829</v>
      </c>
      <c r="AL31" s="42">
        <f>SUM(AL19:AL30)</f>
        <v>24878</v>
      </c>
      <c r="AM31" s="42">
        <f>SUM(AM19:AM30)</f>
        <v>62966</v>
      </c>
      <c r="AO31" s="147" t="s">
        <v>52</v>
      </c>
      <c r="AP31" s="42">
        <f>SUM(AP19:AP30)</f>
        <v>18116</v>
      </c>
      <c r="AQ31" s="42">
        <f>SUM(AQ19:AQ30)</f>
        <v>60192</v>
      </c>
      <c r="AR31" s="42">
        <f>SUM(AR19:AR30)</f>
        <v>162560</v>
      </c>
      <c r="AT31" s="147" t="s">
        <v>52</v>
      </c>
      <c r="AU31" s="42">
        <f>SUM(AU19:AU30)</f>
        <v>21235</v>
      </c>
      <c r="AV31" s="42">
        <f>SUM(AV19:AV30)</f>
        <v>31690</v>
      </c>
      <c r="AW31" s="42">
        <f>SUM(AW19:AW30)</f>
        <v>75212</v>
      </c>
      <c r="AY31" s="147" t="s">
        <v>52</v>
      </c>
      <c r="AZ31" s="42">
        <f>SUM(AZ19:AZ30)</f>
        <v>15569</v>
      </c>
      <c r="BA31" s="42">
        <f>SUM(BA19:BA30)</f>
        <v>61295</v>
      </c>
      <c r="BB31" s="42">
        <f>SUM(BB19:BB30)</f>
        <v>164664</v>
      </c>
      <c r="BD31" s="147" t="s">
        <v>52</v>
      </c>
      <c r="BE31" s="42">
        <f>SUM(BE19:BE30)</f>
        <v>23087</v>
      </c>
      <c r="BF31" s="42">
        <f>SUM(BF19:BF30)</f>
        <v>14514</v>
      </c>
      <c r="BG31" s="42">
        <f>SUM(BG19:BG30)</f>
        <v>20448</v>
      </c>
      <c r="BI31" s="147" t="s">
        <v>52</v>
      </c>
      <c r="BJ31" s="42">
        <f>SUM(BJ19:BJ30)</f>
        <v>133534</v>
      </c>
      <c r="BK31" s="42">
        <f>SUM(BK19:BK30)</f>
        <v>80938</v>
      </c>
      <c r="BL31" s="42">
        <f>SUM(BL19:BL30)</f>
        <v>153434</v>
      </c>
      <c r="BN31" s="147" t="s">
        <v>52</v>
      </c>
      <c r="BO31" s="42">
        <f>SUM(BO19:BO30)</f>
        <v>24840</v>
      </c>
      <c r="BP31" s="42">
        <f>SUM(BP19:BP30)</f>
        <v>9174</v>
      </c>
      <c r="BQ31" s="42">
        <f>SUM(BQ19:BQ30)</f>
        <v>16916</v>
      </c>
      <c r="BS31" s="147" t="s">
        <v>52</v>
      </c>
      <c r="BT31" s="42">
        <f>SUM(BT19:BT30)</f>
        <v>8024</v>
      </c>
      <c r="BU31" s="42">
        <f>SUM(BU19:BU30)</f>
        <v>5971</v>
      </c>
      <c r="BV31" s="42">
        <f>SUM(BV19:BV30)</f>
        <v>6206</v>
      </c>
      <c r="BX31" s="147" t="s">
        <v>52</v>
      </c>
      <c r="BY31" s="42">
        <f>SUM(BY19:BY30)</f>
        <v>407814</v>
      </c>
      <c r="BZ31" s="42">
        <f>SUM(BZ19:BZ30)</f>
        <v>328883</v>
      </c>
      <c r="CA31" s="42">
        <f>SUM(CA19:CA30)</f>
        <v>900670</v>
      </c>
      <c r="CB31" s="30"/>
      <c r="CC31" s="147" t="s">
        <v>52</v>
      </c>
      <c r="CD31" s="42">
        <f>SUM(CD19:CD30)</f>
        <v>11580</v>
      </c>
      <c r="CE31" s="42">
        <f>SUM(CE19:CE30)</f>
        <v>29983</v>
      </c>
      <c r="CF31" s="42">
        <f>SUM(CF19:CF30)</f>
        <v>103337</v>
      </c>
      <c r="CG31" s="30"/>
      <c r="CH31" s="147" t="s">
        <v>52</v>
      </c>
      <c r="CI31" s="42">
        <f>SUM(CI19:CI30)</f>
        <v>1021</v>
      </c>
      <c r="CJ31" s="42">
        <f>SUM(CJ19:CJ30)</f>
        <v>568</v>
      </c>
      <c r="CK31" s="42">
        <f>SUM(CK19:CK30)</f>
        <v>1026</v>
      </c>
      <c r="CL31" s="30"/>
      <c r="CM31" s="147" t="s">
        <v>52</v>
      </c>
      <c r="CN31" s="42">
        <f>SUM(CN19:CN30)</f>
        <v>515</v>
      </c>
      <c r="CO31" s="42">
        <f>SUM(CO19:CO30)</f>
        <v>371</v>
      </c>
      <c r="CP31" s="42">
        <f>SUM(CP19:CP30)</f>
        <v>694</v>
      </c>
      <c r="CR31" s="147" t="s">
        <v>52</v>
      </c>
      <c r="CS31" s="42">
        <f>SUM(CS19:CS30)</f>
        <v>1357</v>
      </c>
      <c r="CT31" s="42">
        <f>SUM(CT19:CT30)</f>
        <v>625</v>
      </c>
      <c r="CU31" s="42">
        <f>SUM(CU19:CU30)</f>
        <v>1145</v>
      </c>
      <c r="CW31" s="147" t="s">
        <v>52</v>
      </c>
      <c r="CX31" s="42">
        <f>SUM(CX19:CX30)</f>
        <v>813</v>
      </c>
      <c r="CY31" s="42">
        <f>SUM(CY19:CY30)</f>
        <v>623</v>
      </c>
      <c r="CZ31" s="42">
        <f>SUM(CZ19:CZ30)</f>
        <v>742</v>
      </c>
      <c r="DB31" s="147" t="s">
        <v>52</v>
      </c>
      <c r="DC31" s="42">
        <f>SUM(DC19:DC30)</f>
        <v>15267</v>
      </c>
      <c r="DD31" s="42">
        <f>SUM(DD19:DD30)</f>
        <v>11520</v>
      </c>
      <c r="DE31" s="42">
        <f>SUM(DE19:DE30)</f>
        <v>21803</v>
      </c>
      <c r="DG31" s="147" t="s">
        <v>52</v>
      </c>
      <c r="DH31" s="42">
        <f>SUM(DH19:DH30)</f>
        <v>7739</v>
      </c>
      <c r="DI31" s="42">
        <f>SUM(DI19:DI30)</f>
        <v>18691</v>
      </c>
      <c r="DJ31" s="42">
        <f>SUM(DJ19:DJ30)</f>
        <v>58228</v>
      </c>
      <c r="DL31" s="147" t="s">
        <v>52</v>
      </c>
      <c r="DM31" s="42">
        <f>SUM(DM19:DM30)</f>
        <v>2813</v>
      </c>
      <c r="DN31" s="42">
        <f>SUM(DN19:DN30)</f>
        <v>2155</v>
      </c>
      <c r="DO31" s="42">
        <f>SUM(DO19:DO30)</f>
        <v>4215</v>
      </c>
      <c r="DQ31" s="147" t="s">
        <v>52</v>
      </c>
      <c r="DR31" s="42">
        <f>SUM(DR19:DR30)</f>
        <v>206347</v>
      </c>
      <c r="DS31" s="42">
        <f>SUM(DS19:DS30)</f>
        <v>171400</v>
      </c>
      <c r="DT31" s="42">
        <f>SUM(DT19:DT30)</f>
        <v>323996</v>
      </c>
      <c r="DV31" s="147" t="s">
        <v>52</v>
      </c>
      <c r="DW31" s="42">
        <f>SUM(DW19:DW30)</f>
        <v>469148</v>
      </c>
      <c r="DX31" s="42">
        <f>SUM(DX19:DX30)</f>
        <v>348395</v>
      </c>
      <c r="DY31" s="42">
        <f>SUM(DY19:DY30)</f>
        <v>604351</v>
      </c>
      <c r="EA31" s="147" t="s">
        <v>52</v>
      </c>
      <c r="EB31" s="42">
        <f>SUM(EB19:EB30)</f>
        <v>68139</v>
      </c>
      <c r="EC31" s="42">
        <f>SUM(EC19:EC30)</f>
        <v>61815</v>
      </c>
      <c r="ED31" s="42">
        <f>SUM(ED19:ED30)</f>
        <v>153337</v>
      </c>
      <c r="EF31" s="147" t="s">
        <v>52</v>
      </c>
      <c r="EG31" s="42">
        <f>SUM(EG19:EG30)</f>
        <v>135981</v>
      </c>
      <c r="EH31" s="42">
        <f>SUM(EH19:EH30)</f>
        <v>65242</v>
      </c>
      <c r="EI31" s="42">
        <f>SUM(EI19:EI30)</f>
        <v>157909</v>
      </c>
      <c r="EK31" s="147" t="s">
        <v>52</v>
      </c>
      <c r="EL31" s="42">
        <f>SUM(EL19:EL30)</f>
        <v>29055</v>
      </c>
      <c r="EM31" s="42">
        <f>SUM(EM19:EM30)</f>
        <v>31819</v>
      </c>
      <c r="EN31" s="42">
        <f>SUM(EN19:EN30)</f>
        <v>138676</v>
      </c>
      <c r="EP31" s="147" t="s">
        <v>52</v>
      </c>
      <c r="EQ31" s="42">
        <f>SUM(EQ19:EQ30)</f>
        <v>77161</v>
      </c>
      <c r="ER31" s="42">
        <f>SUM(ER19:ER30)</f>
        <v>68245</v>
      </c>
      <c r="ES31" s="42">
        <f>SUM(ES19:ES30)</f>
        <v>154255</v>
      </c>
      <c r="EU31" s="147" t="s">
        <v>52</v>
      </c>
      <c r="EV31" s="42">
        <f>SUM(EV19:EV30)</f>
        <v>62364</v>
      </c>
      <c r="EW31" s="42">
        <f>SUM(EW19:EW30)</f>
        <v>63741</v>
      </c>
      <c r="EX31" s="42">
        <f>SUM(EX19:EX30)</f>
        <v>168159</v>
      </c>
      <c r="EZ31" s="147" t="s">
        <v>52</v>
      </c>
      <c r="FA31" s="42">
        <f>SUM(FA19:FA30)</f>
        <v>36343</v>
      </c>
      <c r="FB31" s="42">
        <f>SUM(FB19:FB30)</f>
        <v>30587</v>
      </c>
      <c r="FC31" s="42">
        <f>SUM(FC19:FC30)</f>
        <v>102856</v>
      </c>
      <c r="FE31" s="147" t="s">
        <v>52</v>
      </c>
      <c r="FF31" s="42">
        <f>SUM(FF19:FF30)</f>
        <v>11686</v>
      </c>
      <c r="FG31" s="42">
        <f>SUM(FG19:FG30)</f>
        <v>5962</v>
      </c>
      <c r="FH31" s="42">
        <f>SUM(FH19:FH30)</f>
        <v>19525</v>
      </c>
      <c r="FJ31" s="147" t="s">
        <v>52</v>
      </c>
      <c r="FK31" s="42">
        <f>SUM(FK19:FK30)</f>
        <v>614</v>
      </c>
      <c r="FL31" s="42">
        <f>SUM(FL19:FL30)</f>
        <v>546</v>
      </c>
      <c r="FM31" s="42">
        <f>SUM(FM19:FM30)</f>
        <v>2836</v>
      </c>
      <c r="FO31" s="147" t="s">
        <v>52</v>
      </c>
      <c r="FP31" s="42">
        <f>SUM(FP19:FP30)</f>
        <v>1152866</v>
      </c>
      <c r="FQ31" s="42">
        <f>SUM(FQ19:FQ30)</f>
        <v>600787</v>
      </c>
      <c r="FR31" s="42">
        <f>SUM(FR19:FR30)</f>
        <v>1254269</v>
      </c>
      <c r="FT31" s="147" t="s">
        <v>52</v>
      </c>
      <c r="FU31" s="42">
        <f>SUM(FU19:FU30)</f>
        <v>131669</v>
      </c>
      <c r="FV31" s="42">
        <f>SUM(FV19:FV30)</f>
        <v>90399</v>
      </c>
      <c r="FW31" s="42">
        <f>SUM(FW19:FW30)</f>
        <v>140026</v>
      </c>
      <c r="FY31" s="147" t="s">
        <v>52</v>
      </c>
      <c r="FZ31" s="42">
        <f>SUM(FZ19:FZ30)</f>
        <v>11226</v>
      </c>
      <c r="GA31" s="42">
        <f>SUM(GA19:GA30)</f>
        <v>11124</v>
      </c>
      <c r="GB31" s="42">
        <f>SUM(GB19:GB30)</f>
        <v>23487</v>
      </c>
    </row>
    <row r="32" spans="1:184" s="30" customFormat="1" ht="15">
      <c r="B32" s="183"/>
      <c r="C32" s="170"/>
      <c r="D32" s="170"/>
      <c r="G32" s="183"/>
      <c r="H32" s="195"/>
      <c r="I32" s="170"/>
      <c r="L32" s="183"/>
      <c r="M32" s="195"/>
      <c r="Q32" s="183"/>
      <c r="R32" s="195"/>
      <c r="V32" s="183"/>
      <c r="W32" s="195"/>
      <c r="AA32" s="183"/>
      <c r="AB32" s="195"/>
      <c r="AF32" s="183"/>
      <c r="AG32" s="195"/>
      <c r="AK32" s="183"/>
      <c r="AL32" s="195"/>
      <c r="AP32" s="183"/>
      <c r="AQ32" s="195"/>
      <c r="AU32" s="183"/>
      <c r="AV32" s="195"/>
      <c r="AZ32" s="183"/>
      <c r="BA32" s="195"/>
      <c r="BE32" s="183"/>
      <c r="BF32" s="195"/>
      <c r="BJ32" s="183"/>
      <c r="BK32" s="195"/>
      <c r="BN32" s="170"/>
      <c r="BO32" s="183"/>
      <c r="BP32" s="195"/>
      <c r="BS32" s="184" t="s">
        <v>227</v>
      </c>
      <c r="BT32" s="183"/>
      <c r="BU32" s="195"/>
      <c r="BY32" s="183"/>
      <c r="BZ32" s="195"/>
      <c r="CD32" s="183"/>
      <c r="CE32" s="195"/>
      <c r="CI32" s="183"/>
      <c r="CJ32" s="195"/>
      <c r="CN32" s="183"/>
      <c r="CO32" s="195"/>
      <c r="CS32" s="183"/>
      <c r="CT32" s="195"/>
      <c r="CX32" s="183"/>
      <c r="CY32" s="195"/>
      <c r="DC32" s="183"/>
      <c r="DD32" s="195"/>
    </row>
    <row r="33" spans="1:169" ht="15">
      <c r="A33" s="62">
        <v>2016</v>
      </c>
      <c r="B33" s="63" t="s">
        <v>22</v>
      </c>
      <c r="C33" s="63" t="s">
        <v>23</v>
      </c>
      <c r="D33" s="63" t="s">
        <v>24</v>
      </c>
      <c r="F33" s="62">
        <f>A33</f>
        <v>2016</v>
      </c>
      <c r="G33" s="63" t="s">
        <v>22</v>
      </c>
      <c r="H33" s="63" t="s">
        <v>23</v>
      </c>
      <c r="I33" s="63" t="s">
        <v>24</v>
      </c>
      <c r="K33" s="62">
        <f>F33</f>
        <v>2016</v>
      </c>
      <c r="L33" s="63" t="s">
        <v>22</v>
      </c>
      <c r="M33" s="63" t="s">
        <v>23</v>
      </c>
      <c r="N33" s="63" t="s">
        <v>24</v>
      </c>
      <c r="P33" s="62">
        <f>K33</f>
        <v>2016</v>
      </c>
      <c r="Q33" s="63" t="s">
        <v>22</v>
      </c>
      <c r="R33" s="63" t="s">
        <v>23</v>
      </c>
      <c r="S33" s="63" t="s">
        <v>24</v>
      </c>
      <c r="T33" s="186"/>
      <c r="U33" s="62">
        <f>P33</f>
        <v>2016</v>
      </c>
      <c r="V33" s="63" t="s">
        <v>22</v>
      </c>
      <c r="W33" s="63" t="s">
        <v>23</v>
      </c>
      <c r="X33" s="63" t="s">
        <v>24</v>
      </c>
      <c r="Z33" s="62">
        <f>P33</f>
        <v>2016</v>
      </c>
      <c r="AA33" s="63" t="s">
        <v>22</v>
      </c>
      <c r="AB33" s="63" t="s">
        <v>23</v>
      </c>
      <c r="AC33" s="63" t="s">
        <v>24</v>
      </c>
      <c r="AE33" s="62">
        <f>Z33</f>
        <v>2016</v>
      </c>
      <c r="AF33" s="63" t="s">
        <v>22</v>
      </c>
      <c r="AG33" s="63" t="s">
        <v>23</v>
      </c>
      <c r="AH33" s="63" t="s">
        <v>24</v>
      </c>
      <c r="AJ33" s="62">
        <f>AE33</f>
        <v>2016</v>
      </c>
      <c r="AK33" s="63" t="s">
        <v>22</v>
      </c>
      <c r="AL33" s="63" t="s">
        <v>23</v>
      </c>
      <c r="AM33" s="63" t="s">
        <v>24</v>
      </c>
      <c r="AO33" s="62">
        <f>AJ33</f>
        <v>2016</v>
      </c>
      <c r="AP33" s="63" t="s">
        <v>22</v>
      </c>
      <c r="AQ33" s="63" t="s">
        <v>23</v>
      </c>
      <c r="AR33" s="63" t="s">
        <v>24</v>
      </c>
      <c r="AT33" s="62">
        <f>AO33</f>
        <v>2016</v>
      </c>
      <c r="AU33" s="63" t="s">
        <v>22</v>
      </c>
      <c r="AV33" s="63" t="s">
        <v>23</v>
      </c>
      <c r="AW33" s="63" t="s">
        <v>24</v>
      </c>
      <c r="AY33" s="62">
        <f>AT33</f>
        <v>2016</v>
      </c>
      <c r="AZ33" s="63" t="s">
        <v>22</v>
      </c>
      <c r="BA33" s="63" t="s">
        <v>23</v>
      </c>
      <c r="BB33" s="63" t="s">
        <v>24</v>
      </c>
      <c r="BD33" s="62">
        <f>AY33</f>
        <v>2016</v>
      </c>
      <c r="BE33" s="63" t="s">
        <v>22</v>
      </c>
      <c r="BF33" s="63" t="s">
        <v>23</v>
      </c>
      <c r="BG33" s="63" t="s">
        <v>24</v>
      </c>
      <c r="BI33" s="62">
        <v>2016</v>
      </c>
      <c r="BJ33" s="63" t="s">
        <v>22</v>
      </c>
      <c r="BK33" s="63" t="s">
        <v>23</v>
      </c>
      <c r="BL33" s="63" t="s">
        <v>24</v>
      </c>
      <c r="BN33" s="62">
        <f>BI33</f>
        <v>2016</v>
      </c>
      <c r="BO33" s="63" t="s">
        <v>22</v>
      </c>
      <c r="BP33" s="63" t="s">
        <v>23</v>
      </c>
      <c r="BQ33" s="63" t="s">
        <v>24</v>
      </c>
      <c r="BS33" s="62">
        <f>BN33</f>
        <v>2016</v>
      </c>
      <c r="BT33" s="63" t="s">
        <v>22</v>
      </c>
      <c r="BU33" s="63" t="s">
        <v>23</v>
      </c>
      <c r="BV33" s="63" t="s">
        <v>24</v>
      </c>
      <c r="BX33" s="62">
        <f>BS33</f>
        <v>2016</v>
      </c>
      <c r="BY33" s="63" t="s">
        <v>22</v>
      </c>
      <c r="BZ33" s="63" t="s">
        <v>23</v>
      </c>
      <c r="CA33" s="63" t="s">
        <v>24</v>
      </c>
      <c r="CB33" s="30"/>
      <c r="CC33" s="62">
        <f>BX33</f>
        <v>2016</v>
      </c>
      <c r="CD33" s="63" t="s">
        <v>22</v>
      </c>
      <c r="CE33" s="63" t="s">
        <v>23</v>
      </c>
      <c r="CF33" s="63" t="s">
        <v>24</v>
      </c>
      <c r="CG33" s="30"/>
      <c r="CH33" s="62">
        <f>CC33</f>
        <v>2016</v>
      </c>
      <c r="CI33" s="63" t="s">
        <v>22</v>
      </c>
      <c r="CJ33" s="63" t="s">
        <v>23</v>
      </c>
      <c r="CK33" s="63" t="s">
        <v>24</v>
      </c>
      <c r="CL33" s="30"/>
      <c r="CM33" s="62">
        <f>CH33</f>
        <v>2016</v>
      </c>
      <c r="CN33" s="63" t="s">
        <v>22</v>
      </c>
      <c r="CO33" s="63" t="s">
        <v>23</v>
      </c>
      <c r="CP33" s="63" t="s">
        <v>24</v>
      </c>
      <c r="CR33" s="62">
        <f>CM33</f>
        <v>2016</v>
      </c>
      <c r="CS33" s="63" t="s">
        <v>22</v>
      </c>
      <c r="CT33" s="63" t="s">
        <v>23</v>
      </c>
      <c r="CU33" s="63" t="s">
        <v>24</v>
      </c>
      <c r="CW33" s="62">
        <f>CR33</f>
        <v>2016</v>
      </c>
      <c r="CX33" s="63" t="s">
        <v>22</v>
      </c>
      <c r="CY33" s="63" t="s">
        <v>23</v>
      </c>
      <c r="CZ33" s="63" t="s">
        <v>24</v>
      </c>
      <c r="DB33" s="62">
        <f>CW33</f>
        <v>2016</v>
      </c>
      <c r="DC33" s="63" t="s">
        <v>22</v>
      </c>
      <c r="DD33" s="63" t="s">
        <v>23</v>
      </c>
      <c r="DE33" s="63" t="s">
        <v>24</v>
      </c>
      <c r="DG33" s="62">
        <f>DB33</f>
        <v>2016</v>
      </c>
      <c r="DH33" s="63" t="s">
        <v>22</v>
      </c>
      <c r="DI33" s="63" t="s">
        <v>23</v>
      </c>
      <c r="DJ33" s="63" t="s">
        <v>24</v>
      </c>
      <c r="DL33" s="62">
        <f>DG33</f>
        <v>2016</v>
      </c>
      <c r="DM33" s="63" t="s">
        <v>22</v>
      </c>
      <c r="DN33" s="63" t="s">
        <v>23</v>
      </c>
      <c r="DO33" s="63" t="s">
        <v>24</v>
      </c>
      <c r="DQ33" s="62">
        <f>DL33</f>
        <v>2016</v>
      </c>
      <c r="DR33" s="63" t="s">
        <v>22</v>
      </c>
      <c r="DS33" s="63" t="s">
        <v>23</v>
      </c>
      <c r="DT33" s="63" t="s">
        <v>24</v>
      </c>
      <c r="DV33" s="62">
        <f>DQ33</f>
        <v>2016</v>
      </c>
      <c r="DW33" s="63" t="s">
        <v>22</v>
      </c>
      <c r="DX33" s="63" t="s">
        <v>23</v>
      </c>
      <c r="DY33" s="63" t="s">
        <v>24</v>
      </c>
      <c r="EA33" s="62">
        <f>DV33</f>
        <v>2016</v>
      </c>
      <c r="EB33" s="63" t="s">
        <v>22</v>
      </c>
      <c r="EC33" s="63" t="s">
        <v>23</v>
      </c>
      <c r="ED33" s="63" t="s">
        <v>24</v>
      </c>
      <c r="EF33" s="62">
        <f>EA33</f>
        <v>2016</v>
      </c>
      <c r="EG33" s="63" t="s">
        <v>22</v>
      </c>
      <c r="EH33" s="63" t="s">
        <v>23</v>
      </c>
      <c r="EI33" s="63" t="s">
        <v>24</v>
      </c>
      <c r="EK33" s="62">
        <f>EF33</f>
        <v>2016</v>
      </c>
      <c r="EL33" s="63" t="s">
        <v>22</v>
      </c>
      <c r="EM33" s="63" t="s">
        <v>23</v>
      </c>
      <c r="EN33" s="63" t="s">
        <v>24</v>
      </c>
      <c r="EP33" s="62">
        <f>EK33</f>
        <v>2016</v>
      </c>
      <c r="EQ33" s="63" t="s">
        <v>22</v>
      </c>
      <c r="ER33" s="63" t="s">
        <v>23</v>
      </c>
      <c r="ES33" s="63" t="s">
        <v>24</v>
      </c>
      <c r="EU33" s="62">
        <f>EP33</f>
        <v>2016</v>
      </c>
      <c r="EV33" s="63" t="s">
        <v>22</v>
      </c>
      <c r="EW33" s="63" t="s">
        <v>23</v>
      </c>
      <c r="EX33" s="63" t="s">
        <v>24</v>
      </c>
      <c r="EZ33" s="62">
        <f>EU33</f>
        <v>2016</v>
      </c>
      <c r="FA33" s="63" t="s">
        <v>22</v>
      </c>
      <c r="FB33" s="63" t="s">
        <v>23</v>
      </c>
      <c r="FC33" s="63" t="s">
        <v>24</v>
      </c>
      <c r="FE33" s="62">
        <f>EZ33</f>
        <v>2016</v>
      </c>
      <c r="FF33" s="63" t="s">
        <v>22</v>
      </c>
      <c r="FG33" s="63" t="s">
        <v>23</v>
      </c>
      <c r="FH33" s="63" t="s">
        <v>24</v>
      </c>
      <c r="FJ33" s="62">
        <f>FE33</f>
        <v>2016</v>
      </c>
      <c r="FK33" s="63" t="s">
        <v>22</v>
      </c>
      <c r="FL33" s="63" t="s">
        <v>23</v>
      </c>
      <c r="FM33" s="63" t="s">
        <v>24</v>
      </c>
    </row>
    <row r="34" spans="1:169" ht="15">
      <c r="A34" s="43" t="s">
        <v>25</v>
      </c>
      <c r="B34" s="142">
        <v>130862</v>
      </c>
      <c r="C34" s="118">
        <v>99402</v>
      </c>
      <c r="D34" s="143">
        <v>199212</v>
      </c>
      <c r="F34" s="43" t="s">
        <v>25</v>
      </c>
      <c r="G34" s="41">
        <v>506414</v>
      </c>
      <c r="H34" s="118">
        <v>357980</v>
      </c>
      <c r="I34" s="41">
        <v>709664</v>
      </c>
      <c r="K34" s="43" t="s">
        <v>25</v>
      </c>
      <c r="L34" s="41">
        <v>271922</v>
      </c>
      <c r="M34" s="118">
        <v>180623</v>
      </c>
      <c r="N34" s="41">
        <v>337947</v>
      </c>
      <c r="P34" s="43" t="s">
        <v>25</v>
      </c>
      <c r="Q34" s="41">
        <v>5762</v>
      </c>
      <c r="R34" s="118">
        <v>5725</v>
      </c>
      <c r="S34" s="41">
        <v>12529</v>
      </c>
      <c r="T34" s="6"/>
      <c r="U34" s="43" t="s">
        <v>25</v>
      </c>
      <c r="V34" s="41">
        <v>3574.2</v>
      </c>
      <c r="W34" s="118">
        <v>1973.9999999999998</v>
      </c>
      <c r="X34" s="41">
        <v>5462.0999999999995</v>
      </c>
      <c r="Z34" s="43" t="s">
        <v>25</v>
      </c>
      <c r="AA34" s="41">
        <v>5106</v>
      </c>
      <c r="AB34" s="118">
        <v>2820</v>
      </c>
      <c r="AC34" s="41">
        <v>7803</v>
      </c>
      <c r="AE34" s="43" t="s">
        <v>25</v>
      </c>
      <c r="AF34" s="41">
        <v>9666</v>
      </c>
      <c r="AG34" s="118">
        <v>13350</v>
      </c>
      <c r="AH34" s="41">
        <v>31357</v>
      </c>
      <c r="AJ34" s="43" t="s">
        <v>25</v>
      </c>
      <c r="AK34" s="41">
        <v>1167</v>
      </c>
      <c r="AL34" s="118">
        <v>2927</v>
      </c>
      <c r="AM34" s="41">
        <v>6429</v>
      </c>
      <c r="AO34" s="43" t="s">
        <v>25</v>
      </c>
      <c r="AP34" s="41">
        <v>2752</v>
      </c>
      <c r="AQ34" s="118">
        <v>7086</v>
      </c>
      <c r="AR34" s="41">
        <v>16369</v>
      </c>
      <c r="AT34" s="43" t="s">
        <v>25</v>
      </c>
      <c r="AU34" s="41">
        <v>2545</v>
      </c>
      <c r="AV34" s="118">
        <v>4017</v>
      </c>
      <c r="AW34" s="41">
        <v>8586</v>
      </c>
      <c r="AY34" s="43" t="s">
        <v>25</v>
      </c>
      <c r="AZ34" s="41">
        <v>2648</v>
      </c>
      <c r="BA34" s="118">
        <v>7876</v>
      </c>
      <c r="BB34" s="41">
        <v>17964</v>
      </c>
      <c r="BD34" s="43" t="s">
        <v>25</v>
      </c>
      <c r="BE34" s="41">
        <v>3582</v>
      </c>
      <c r="BF34" s="118">
        <v>2482</v>
      </c>
      <c r="BG34" s="41">
        <v>3590</v>
      </c>
      <c r="BI34" s="43" t="s">
        <v>25</v>
      </c>
      <c r="BJ34" s="41">
        <v>11422</v>
      </c>
      <c r="BK34" s="118">
        <v>7468</v>
      </c>
      <c r="BL34" s="41">
        <v>15257</v>
      </c>
      <c r="BM34" s="115"/>
      <c r="BN34" s="43" t="s">
        <v>25</v>
      </c>
      <c r="BO34" s="41">
        <v>359</v>
      </c>
      <c r="BP34" s="118">
        <v>103</v>
      </c>
      <c r="BQ34" s="41">
        <v>186</v>
      </c>
      <c r="BS34" s="43" t="s">
        <v>25</v>
      </c>
      <c r="BT34" s="41">
        <v>603</v>
      </c>
      <c r="BU34" s="118">
        <v>493</v>
      </c>
      <c r="BV34" s="41">
        <v>942</v>
      </c>
      <c r="BX34" s="43" t="s">
        <v>25</v>
      </c>
      <c r="BY34" s="41">
        <v>30570</v>
      </c>
      <c r="BZ34" s="118">
        <v>32582</v>
      </c>
      <c r="CA34" s="41">
        <v>84556</v>
      </c>
      <c r="CB34" s="30"/>
      <c r="CC34" s="43" t="s">
        <v>25</v>
      </c>
      <c r="CD34" s="41">
        <v>1232</v>
      </c>
      <c r="CE34" s="118">
        <v>3050</v>
      </c>
      <c r="CF34" s="41">
        <v>10536</v>
      </c>
      <c r="CG34" s="30"/>
      <c r="CH34" s="43" t="s">
        <v>25</v>
      </c>
      <c r="CI34" s="41">
        <v>477</v>
      </c>
      <c r="CJ34" s="118">
        <v>286</v>
      </c>
      <c r="CK34" s="41">
        <v>126</v>
      </c>
      <c r="CL34" s="30"/>
      <c r="CM34" s="43" t="s">
        <v>25</v>
      </c>
      <c r="CN34" s="41">
        <v>44</v>
      </c>
      <c r="CO34" s="118">
        <v>33</v>
      </c>
      <c r="CP34" s="41">
        <v>69</v>
      </c>
      <c r="CR34" s="43" t="s">
        <v>25</v>
      </c>
      <c r="CS34" s="41">
        <v>111</v>
      </c>
      <c r="CT34" s="118">
        <v>95</v>
      </c>
      <c r="CU34" s="41">
        <v>85</v>
      </c>
      <c r="CW34" s="43" t="s">
        <v>25</v>
      </c>
      <c r="CX34" s="41">
        <v>83</v>
      </c>
      <c r="CY34" s="118">
        <v>85</v>
      </c>
      <c r="CZ34" s="41">
        <v>82</v>
      </c>
      <c r="DB34" s="43" t="s">
        <v>25</v>
      </c>
      <c r="DC34" s="41">
        <v>1550</v>
      </c>
      <c r="DD34" s="118">
        <v>1719</v>
      </c>
      <c r="DE34" s="41">
        <v>3156</v>
      </c>
      <c r="DG34" s="43" t="s">
        <v>25</v>
      </c>
      <c r="DH34" s="41">
        <v>1250</v>
      </c>
      <c r="DI34" s="118">
        <v>2158</v>
      </c>
      <c r="DJ34" s="41">
        <v>5712</v>
      </c>
      <c r="DL34" s="43" t="s">
        <v>25</v>
      </c>
      <c r="DM34" s="41">
        <v>82</v>
      </c>
      <c r="DN34" s="118">
        <v>62</v>
      </c>
      <c r="DO34" s="41">
        <v>133</v>
      </c>
      <c r="DQ34" s="43" t="s">
        <v>25</v>
      </c>
      <c r="DR34" s="41">
        <v>5831</v>
      </c>
      <c r="DS34" s="118">
        <v>5928</v>
      </c>
      <c r="DT34" s="41">
        <v>13378</v>
      </c>
      <c r="DV34" s="43" t="s">
        <v>25</v>
      </c>
      <c r="DW34" s="41">
        <v>30521</v>
      </c>
      <c r="DX34" s="118">
        <v>25353</v>
      </c>
      <c r="DY34" s="41">
        <v>48701</v>
      </c>
      <c r="EA34" s="43" t="s">
        <v>25</v>
      </c>
      <c r="EB34" s="41">
        <v>6595</v>
      </c>
      <c r="EC34" s="118">
        <v>6850</v>
      </c>
      <c r="ED34" s="41">
        <v>16476</v>
      </c>
      <c r="EF34" s="43" t="s">
        <v>25</v>
      </c>
      <c r="EG34" s="41">
        <v>8994</v>
      </c>
      <c r="EH34" s="118">
        <v>6081</v>
      </c>
      <c r="EI34" s="41">
        <v>14563</v>
      </c>
      <c r="EK34" s="43" t="s">
        <v>25</v>
      </c>
      <c r="EL34" s="41">
        <v>6501</v>
      </c>
      <c r="EM34" s="118">
        <v>6891</v>
      </c>
      <c r="EN34" s="41">
        <v>17249</v>
      </c>
      <c r="EP34" s="43" t="s">
        <v>25</v>
      </c>
      <c r="EQ34" s="41">
        <v>5491</v>
      </c>
      <c r="ER34" s="118">
        <v>3625</v>
      </c>
      <c r="ES34" s="41">
        <v>11177</v>
      </c>
      <c r="EU34" s="43" t="s">
        <v>25</v>
      </c>
      <c r="EV34" s="41">
        <v>3149</v>
      </c>
      <c r="EW34" s="118">
        <v>2984</v>
      </c>
      <c r="EX34" s="41">
        <v>10570</v>
      </c>
      <c r="EZ34" s="43" t="s">
        <v>25</v>
      </c>
      <c r="FA34" s="41">
        <v>7883</v>
      </c>
      <c r="FB34" s="118">
        <v>6295</v>
      </c>
      <c r="FC34" s="41">
        <v>14761</v>
      </c>
      <c r="FE34" s="43" t="s">
        <v>25</v>
      </c>
      <c r="FF34" s="41">
        <v>1037</v>
      </c>
      <c r="FG34" s="118">
        <v>602</v>
      </c>
      <c r="FH34" s="41">
        <v>2216</v>
      </c>
      <c r="FJ34" s="43" t="s">
        <v>25</v>
      </c>
      <c r="FK34" s="41">
        <v>62</v>
      </c>
      <c r="FL34" s="118">
        <v>47</v>
      </c>
      <c r="FM34" s="41">
        <v>249</v>
      </c>
    </row>
    <row r="35" spans="1:169" ht="15">
      <c r="A35" s="43" t="s">
        <v>26</v>
      </c>
      <c r="B35" s="142">
        <v>156738</v>
      </c>
      <c r="C35" s="118">
        <v>101170</v>
      </c>
      <c r="D35" s="143">
        <v>180202</v>
      </c>
      <c r="F35" s="43" t="s">
        <v>26</v>
      </c>
      <c r="G35" s="41">
        <v>573024</v>
      </c>
      <c r="H35" s="118">
        <v>367468</v>
      </c>
      <c r="I35" s="41">
        <v>631708</v>
      </c>
      <c r="K35" s="43" t="s">
        <v>26</v>
      </c>
      <c r="L35" s="41">
        <v>310025</v>
      </c>
      <c r="M35" s="118">
        <v>179201</v>
      </c>
      <c r="N35" s="41">
        <v>301932</v>
      </c>
      <c r="P35" s="43" t="s">
        <v>26</v>
      </c>
      <c r="Q35" s="41">
        <v>8469</v>
      </c>
      <c r="R35" s="118">
        <v>6518</v>
      </c>
      <c r="S35" s="41">
        <v>13714</v>
      </c>
      <c r="T35" s="6"/>
      <c r="U35" s="43" t="s">
        <v>26</v>
      </c>
      <c r="V35" s="41">
        <v>3710.7</v>
      </c>
      <c r="W35" s="118">
        <v>1774.5</v>
      </c>
      <c r="X35" s="41">
        <v>4946.8999999999996</v>
      </c>
      <c r="Z35" s="43" t="s">
        <v>26</v>
      </c>
      <c r="AA35" s="41">
        <v>5301</v>
      </c>
      <c r="AB35" s="118">
        <v>2535</v>
      </c>
      <c r="AC35" s="41">
        <v>7067</v>
      </c>
      <c r="AE35" s="43" t="s">
        <v>26</v>
      </c>
      <c r="AF35" s="41">
        <v>9357</v>
      </c>
      <c r="AG35" s="118">
        <v>12598</v>
      </c>
      <c r="AH35" s="41">
        <v>27011</v>
      </c>
      <c r="AJ35" s="43" t="s">
        <v>26</v>
      </c>
      <c r="AK35" s="41">
        <v>956</v>
      </c>
      <c r="AL35" s="118">
        <v>2583</v>
      </c>
      <c r="AM35" s="41">
        <v>5552</v>
      </c>
      <c r="AO35" s="43" t="s">
        <v>26</v>
      </c>
      <c r="AP35" s="41">
        <v>2192</v>
      </c>
      <c r="AQ35" s="118">
        <v>6422</v>
      </c>
      <c r="AR35" s="41">
        <v>14080</v>
      </c>
      <c r="AT35" s="43" t="s">
        <v>26</v>
      </c>
      <c r="AU35" s="41">
        <v>2101</v>
      </c>
      <c r="AV35" s="118">
        <v>3444</v>
      </c>
      <c r="AW35" s="41">
        <v>6805</v>
      </c>
      <c r="AY35" s="43" t="s">
        <v>26</v>
      </c>
      <c r="AZ35" s="41">
        <v>1930</v>
      </c>
      <c r="BA35" s="118">
        <v>7003</v>
      </c>
      <c r="BB35" s="41">
        <v>15309</v>
      </c>
      <c r="BD35" s="43" t="s">
        <v>26</v>
      </c>
      <c r="BE35" s="41">
        <v>3524</v>
      </c>
      <c r="BF35" s="118">
        <v>2123</v>
      </c>
      <c r="BG35" s="41">
        <v>2385</v>
      </c>
      <c r="BI35" s="43" t="s">
        <v>26</v>
      </c>
      <c r="BJ35" s="41">
        <v>12146</v>
      </c>
      <c r="BK35" s="118">
        <v>6984</v>
      </c>
      <c r="BL35" s="41">
        <v>12573</v>
      </c>
      <c r="BN35" s="43" t="s">
        <v>26</v>
      </c>
      <c r="BO35" s="41">
        <v>405</v>
      </c>
      <c r="BP35" s="118">
        <v>124</v>
      </c>
      <c r="BQ35" s="41">
        <v>192</v>
      </c>
      <c r="BS35" s="43" t="s">
        <v>26</v>
      </c>
      <c r="BT35" s="41">
        <v>419</v>
      </c>
      <c r="BU35" s="118">
        <v>343</v>
      </c>
      <c r="BV35" s="41">
        <v>654</v>
      </c>
      <c r="BX35" s="43" t="s">
        <v>26</v>
      </c>
      <c r="BY35" s="41">
        <v>28218</v>
      </c>
      <c r="BZ35" s="118">
        <v>28048</v>
      </c>
      <c r="CA35" s="41">
        <v>70172</v>
      </c>
      <c r="CB35" s="30"/>
      <c r="CC35" s="43" t="s">
        <v>26</v>
      </c>
      <c r="CD35" s="41">
        <v>1205</v>
      </c>
      <c r="CE35" s="118">
        <v>2954</v>
      </c>
      <c r="CF35" s="41">
        <v>9458</v>
      </c>
      <c r="CG35" s="30"/>
      <c r="CH35" s="43" t="s">
        <v>26</v>
      </c>
      <c r="CI35" s="41">
        <v>225</v>
      </c>
      <c r="CJ35" s="118">
        <v>739</v>
      </c>
      <c r="CK35" s="41">
        <v>311</v>
      </c>
      <c r="CL35" s="30"/>
      <c r="CM35" s="43" t="s">
        <v>26</v>
      </c>
      <c r="CN35" s="41">
        <v>47</v>
      </c>
      <c r="CO35" s="118">
        <v>32</v>
      </c>
      <c r="CP35" s="41">
        <v>58</v>
      </c>
      <c r="CR35" s="43" t="s">
        <v>26</v>
      </c>
      <c r="CS35" s="41">
        <v>122</v>
      </c>
      <c r="CT35" s="118">
        <v>67</v>
      </c>
      <c r="CU35" s="41">
        <v>88</v>
      </c>
      <c r="CW35" s="43" t="s">
        <v>26</v>
      </c>
      <c r="CX35" s="41">
        <v>82</v>
      </c>
      <c r="CY35" s="118">
        <v>83</v>
      </c>
      <c r="CZ35" s="41">
        <v>97</v>
      </c>
      <c r="DB35" s="43" t="s">
        <v>26</v>
      </c>
      <c r="DC35" s="41">
        <v>2272</v>
      </c>
      <c r="DD35" s="118">
        <v>1459</v>
      </c>
      <c r="DE35" s="41">
        <v>3054</v>
      </c>
      <c r="DG35" s="43" t="s">
        <v>26</v>
      </c>
      <c r="DH35" s="41">
        <v>1374</v>
      </c>
      <c r="DI35" s="118">
        <v>2180</v>
      </c>
      <c r="DJ35" s="41">
        <v>5408</v>
      </c>
      <c r="DL35" s="43" t="s">
        <v>26</v>
      </c>
      <c r="DM35" s="41">
        <v>76</v>
      </c>
      <c r="DN35" s="118">
        <v>58</v>
      </c>
      <c r="DO35" s="41">
        <v>116</v>
      </c>
      <c r="DQ35" s="43" t="s">
        <v>26</v>
      </c>
      <c r="DR35" s="41">
        <v>6539</v>
      </c>
      <c r="DS35" s="118">
        <v>5846</v>
      </c>
      <c r="DT35" s="41">
        <v>11482</v>
      </c>
      <c r="DV35" s="43" t="s">
        <v>26</v>
      </c>
      <c r="DW35" s="41">
        <v>31821</v>
      </c>
      <c r="DX35" s="118">
        <v>24093</v>
      </c>
      <c r="DY35" s="41">
        <v>40131</v>
      </c>
      <c r="EA35" s="43" t="s">
        <v>26</v>
      </c>
      <c r="EB35" s="41">
        <v>6673</v>
      </c>
      <c r="EC35" s="118">
        <v>6499</v>
      </c>
      <c r="ED35" s="41">
        <v>14621</v>
      </c>
      <c r="EF35" s="43" t="s">
        <v>26</v>
      </c>
      <c r="EG35" s="41">
        <v>9316</v>
      </c>
      <c r="EH35" s="118">
        <v>5909</v>
      </c>
      <c r="EI35" s="41">
        <v>12981</v>
      </c>
      <c r="EK35" s="43" t="s">
        <v>26</v>
      </c>
      <c r="EL35" s="41">
        <v>6711</v>
      </c>
      <c r="EM35" s="118">
        <v>6724</v>
      </c>
      <c r="EN35" s="41">
        <v>15418</v>
      </c>
      <c r="EP35" s="43" t="s">
        <v>26</v>
      </c>
      <c r="EQ35" s="41">
        <v>5687</v>
      </c>
      <c r="ER35" s="118">
        <v>3510</v>
      </c>
      <c r="ES35" s="41">
        <v>10622</v>
      </c>
      <c r="EU35" s="43" t="s">
        <v>26</v>
      </c>
      <c r="EV35" s="41">
        <v>3075</v>
      </c>
      <c r="EW35" s="118">
        <v>2909</v>
      </c>
      <c r="EX35" s="41">
        <v>10043</v>
      </c>
      <c r="EZ35" s="43" t="s">
        <v>26</v>
      </c>
      <c r="FA35" s="41">
        <v>8307</v>
      </c>
      <c r="FB35" s="118">
        <v>6004</v>
      </c>
      <c r="FC35" s="41">
        <v>12739</v>
      </c>
      <c r="FE35" s="43" t="s">
        <v>26</v>
      </c>
      <c r="FF35" s="41">
        <v>1114</v>
      </c>
      <c r="FG35" s="118">
        <v>540</v>
      </c>
      <c r="FH35" s="41">
        <v>2169</v>
      </c>
      <c r="FJ35" s="43" t="s">
        <v>26</v>
      </c>
      <c r="FK35" s="41">
        <v>94</v>
      </c>
      <c r="FL35" s="118">
        <v>66</v>
      </c>
      <c r="FM35" s="41">
        <v>284</v>
      </c>
    </row>
    <row r="36" spans="1:169" ht="15">
      <c r="A36" s="43" t="s">
        <v>27</v>
      </c>
      <c r="B36" s="142">
        <v>157640</v>
      </c>
      <c r="C36" s="118">
        <v>102242</v>
      </c>
      <c r="D36" s="143">
        <v>193376</v>
      </c>
      <c r="F36" s="43" t="s">
        <v>27</v>
      </c>
      <c r="G36" s="41">
        <v>592474</v>
      </c>
      <c r="H36" s="118">
        <v>377952</v>
      </c>
      <c r="I36" s="41">
        <v>676450</v>
      </c>
      <c r="K36" s="43" t="s">
        <v>27</v>
      </c>
      <c r="L36" s="41">
        <v>328925</v>
      </c>
      <c r="M36" s="118">
        <v>181695</v>
      </c>
      <c r="N36" s="41">
        <v>312150</v>
      </c>
      <c r="P36" s="43" t="s">
        <v>27</v>
      </c>
      <c r="Q36" s="41">
        <v>7635</v>
      </c>
      <c r="R36" s="118">
        <v>5793</v>
      </c>
      <c r="S36" s="41">
        <v>12948</v>
      </c>
      <c r="T36" s="6"/>
      <c r="U36" s="43" t="s">
        <v>27</v>
      </c>
      <c r="V36" s="41">
        <v>3569.2999999999997</v>
      </c>
      <c r="W36" s="118">
        <v>1713.6</v>
      </c>
      <c r="X36" s="41">
        <v>3118.5</v>
      </c>
      <c r="Z36" s="43" t="s">
        <v>27</v>
      </c>
      <c r="AA36" s="41">
        <v>5099</v>
      </c>
      <c r="AB36" s="118">
        <v>2448</v>
      </c>
      <c r="AC36" s="41">
        <v>4455</v>
      </c>
      <c r="AE36" s="43" t="s">
        <v>27</v>
      </c>
      <c r="AF36" s="41">
        <v>8856</v>
      </c>
      <c r="AG36" s="118">
        <v>11885</v>
      </c>
      <c r="AH36" s="41">
        <v>28305</v>
      </c>
      <c r="AJ36" s="43" t="s">
        <v>27</v>
      </c>
      <c r="AK36" s="41">
        <v>503</v>
      </c>
      <c r="AL36" s="118">
        <v>2317</v>
      </c>
      <c r="AM36" s="41">
        <v>5473</v>
      </c>
      <c r="AO36" s="43" t="s">
        <v>27</v>
      </c>
      <c r="AP36" s="41">
        <v>1162</v>
      </c>
      <c r="AQ36" s="118">
        <v>5711</v>
      </c>
      <c r="AR36" s="41">
        <v>13703</v>
      </c>
      <c r="AT36" s="43" t="s">
        <v>27</v>
      </c>
      <c r="AU36" s="41">
        <v>1326</v>
      </c>
      <c r="AV36" s="118">
        <v>3070</v>
      </c>
      <c r="AW36" s="41">
        <v>6918</v>
      </c>
      <c r="AY36" s="43" t="s">
        <v>27</v>
      </c>
      <c r="AZ36" s="41">
        <v>943</v>
      </c>
      <c r="BA36" s="118">
        <v>6409</v>
      </c>
      <c r="BB36" s="41">
        <v>15591</v>
      </c>
      <c r="BD36" s="43" t="s">
        <v>27</v>
      </c>
      <c r="BE36" s="41">
        <v>2996</v>
      </c>
      <c r="BF36" s="118">
        <v>1828</v>
      </c>
      <c r="BG36" s="41">
        <v>2357</v>
      </c>
      <c r="BI36" s="43" t="s">
        <v>27</v>
      </c>
      <c r="BJ36" s="41">
        <v>11303</v>
      </c>
      <c r="BK36" s="118">
        <v>6701</v>
      </c>
      <c r="BL36" s="41">
        <v>12979</v>
      </c>
      <c r="BN36" s="43" t="s">
        <v>27</v>
      </c>
      <c r="BO36" s="41">
        <v>399</v>
      </c>
      <c r="BP36" s="118">
        <v>102</v>
      </c>
      <c r="BQ36" s="41">
        <v>181</v>
      </c>
      <c r="BS36" s="43" t="s">
        <v>27</v>
      </c>
      <c r="BT36" s="41">
        <v>69</v>
      </c>
      <c r="BU36" s="118">
        <v>50</v>
      </c>
      <c r="BV36" s="41">
        <v>94</v>
      </c>
      <c r="BX36" s="43" t="s">
        <v>27</v>
      </c>
      <c r="BY36" s="41">
        <v>24588</v>
      </c>
      <c r="BZ36" s="118">
        <v>25068</v>
      </c>
      <c r="CA36" s="41">
        <v>71303</v>
      </c>
      <c r="CB36" s="30"/>
      <c r="CC36" s="43" t="s">
        <v>27</v>
      </c>
      <c r="CD36" s="41">
        <v>1205</v>
      </c>
      <c r="CE36" s="118">
        <v>2954</v>
      </c>
      <c r="CF36" s="41">
        <v>9458</v>
      </c>
      <c r="CG36" s="30"/>
      <c r="CH36" s="43" t="s">
        <v>27</v>
      </c>
      <c r="CI36" s="41">
        <v>221</v>
      </c>
      <c r="CJ36" s="118">
        <v>992</v>
      </c>
      <c r="CK36" s="41">
        <v>393</v>
      </c>
      <c r="CL36" s="30"/>
      <c r="CM36" s="43" t="s">
        <v>27</v>
      </c>
      <c r="CN36" s="41">
        <v>47</v>
      </c>
      <c r="CO36" s="118">
        <v>33</v>
      </c>
      <c r="CP36" s="41">
        <v>62</v>
      </c>
      <c r="CR36" s="43" t="s">
        <v>27</v>
      </c>
      <c r="CS36" s="41">
        <v>115</v>
      </c>
      <c r="CT36" s="118">
        <v>76</v>
      </c>
      <c r="CU36" s="41">
        <v>89</v>
      </c>
      <c r="CW36" s="43" t="s">
        <v>27</v>
      </c>
      <c r="CX36" s="41">
        <v>86</v>
      </c>
      <c r="CY36" s="118">
        <v>82</v>
      </c>
      <c r="CZ36" s="41">
        <v>93</v>
      </c>
      <c r="DB36" s="43" t="s">
        <v>27</v>
      </c>
      <c r="DC36" s="41">
        <v>1799</v>
      </c>
      <c r="DD36" s="118">
        <v>1744</v>
      </c>
      <c r="DE36" s="41">
        <v>2783</v>
      </c>
      <c r="DG36" s="43" t="s">
        <v>27</v>
      </c>
      <c r="DH36" s="41">
        <v>1025</v>
      </c>
      <c r="DI36" s="118">
        <v>2105</v>
      </c>
      <c r="DJ36" s="41">
        <v>5631</v>
      </c>
      <c r="DL36" s="43" t="s">
        <v>27</v>
      </c>
      <c r="DM36" s="41">
        <v>100</v>
      </c>
      <c r="DN36" s="118">
        <v>58</v>
      </c>
      <c r="DO36" s="41">
        <v>125</v>
      </c>
      <c r="DQ36" s="43" t="s">
        <v>27</v>
      </c>
      <c r="DR36" s="41">
        <v>9615</v>
      </c>
      <c r="DS36" s="118">
        <v>8554</v>
      </c>
      <c r="DT36" s="41">
        <v>17642</v>
      </c>
      <c r="DV36" s="43" t="s">
        <v>27</v>
      </c>
      <c r="DW36" s="41">
        <v>35151</v>
      </c>
      <c r="DX36" s="118">
        <v>26414</v>
      </c>
      <c r="DY36" s="41">
        <v>46507</v>
      </c>
      <c r="EA36" s="43" t="s">
        <v>27</v>
      </c>
      <c r="EB36" s="41">
        <v>6271</v>
      </c>
      <c r="EC36" s="118">
        <v>5778</v>
      </c>
      <c r="ED36" s="41">
        <v>14276</v>
      </c>
      <c r="EF36" s="43" t="s">
        <v>27</v>
      </c>
      <c r="EG36" s="41">
        <v>8952</v>
      </c>
      <c r="EH36" s="118">
        <v>5500</v>
      </c>
      <c r="EI36" s="41">
        <v>13215</v>
      </c>
      <c r="EK36" s="43" t="s">
        <v>27</v>
      </c>
      <c r="EL36" s="41">
        <v>6154</v>
      </c>
      <c r="EM36" s="118">
        <v>6371</v>
      </c>
      <c r="EN36" s="41">
        <v>16196</v>
      </c>
      <c r="EP36" s="43" t="s">
        <v>27</v>
      </c>
      <c r="EQ36" s="41">
        <v>5391</v>
      </c>
      <c r="ER36" s="118">
        <v>3275</v>
      </c>
      <c r="ES36" s="41">
        <v>11141</v>
      </c>
      <c r="EU36" s="43" t="s">
        <v>27</v>
      </c>
      <c r="EV36" s="41">
        <v>2528</v>
      </c>
      <c r="EW36" s="118">
        <v>2497</v>
      </c>
      <c r="EX36" s="41">
        <v>10526</v>
      </c>
      <c r="EZ36" s="43" t="s">
        <v>27</v>
      </c>
      <c r="FA36" s="41">
        <v>8161</v>
      </c>
      <c r="FB36" s="118">
        <v>5736</v>
      </c>
      <c r="FC36" s="41">
        <v>13416</v>
      </c>
      <c r="FE36" s="43" t="s">
        <v>27</v>
      </c>
      <c r="FF36" s="41">
        <v>1035</v>
      </c>
      <c r="FG36" s="118">
        <v>484</v>
      </c>
      <c r="FH36" s="41">
        <v>1988</v>
      </c>
      <c r="FJ36" s="43" t="s">
        <v>27</v>
      </c>
      <c r="FK36" s="41">
        <v>58</v>
      </c>
      <c r="FL36" s="118">
        <v>50</v>
      </c>
      <c r="FM36" s="41">
        <v>265</v>
      </c>
    </row>
    <row r="37" spans="1:169" ht="15">
      <c r="A37" s="43" t="s">
        <v>28</v>
      </c>
      <c r="B37" s="142">
        <v>192360</v>
      </c>
      <c r="C37" s="118">
        <v>130540</v>
      </c>
      <c r="D37" s="143">
        <v>216432</v>
      </c>
      <c r="F37" s="43" t="s">
        <v>28</v>
      </c>
      <c r="G37" s="41">
        <v>585978</v>
      </c>
      <c r="H37" s="118">
        <v>444490</v>
      </c>
      <c r="I37" s="41">
        <v>765328</v>
      </c>
      <c r="K37" s="43" t="s">
        <v>28</v>
      </c>
      <c r="L37" s="120">
        <v>315962</v>
      </c>
      <c r="M37" s="120">
        <v>202331</v>
      </c>
      <c r="N37" s="120">
        <v>314906</v>
      </c>
      <c r="P37" s="43" t="s">
        <v>28</v>
      </c>
      <c r="Q37" s="41">
        <v>5156</v>
      </c>
      <c r="R37" s="118">
        <v>4682</v>
      </c>
      <c r="S37" s="41">
        <v>10068</v>
      </c>
      <c r="T37" s="6"/>
      <c r="U37" s="43" t="s">
        <v>28</v>
      </c>
      <c r="V37" s="41">
        <v>2340.1</v>
      </c>
      <c r="W37" s="118">
        <v>1437.8</v>
      </c>
      <c r="X37" s="41">
        <v>2657.8999999999996</v>
      </c>
      <c r="Z37" s="43" t="s">
        <v>28</v>
      </c>
      <c r="AA37" s="41">
        <v>3343</v>
      </c>
      <c r="AB37" s="118">
        <v>2054</v>
      </c>
      <c r="AC37" s="41">
        <v>3797</v>
      </c>
      <c r="AE37" s="43" t="s">
        <v>28</v>
      </c>
      <c r="AF37" s="41">
        <v>7129</v>
      </c>
      <c r="AG37" s="118">
        <v>9738</v>
      </c>
      <c r="AH37" s="41">
        <v>26823</v>
      </c>
      <c r="AJ37" s="43" t="s">
        <v>28</v>
      </c>
      <c r="AK37" s="41">
        <v>142</v>
      </c>
      <c r="AL37" s="118">
        <v>1670</v>
      </c>
      <c r="AM37" s="41">
        <v>4972</v>
      </c>
      <c r="AO37" s="43" t="s">
        <v>28</v>
      </c>
      <c r="AP37" s="41">
        <v>383</v>
      </c>
      <c r="AQ37" s="118">
        <v>3809</v>
      </c>
      <c r="AR37" s="41">
        <v>12167</v>
      </c>
      <c r="AT37" s="43" t="s">
        <v>28</v>
      </c>
      <c r="AU37" s="41">
        <v>540</v>
      </c>
      <c r="AV37" s="118">
        <v>1966</v>
      </c>
      <c r="AW37" s="41">
        <v>5623</v>
      </c>
      <c r="AY37" s="43" t="s">
        <v>28</v>
      </c>
      <c r="AZ37" s="41">
        <v>216</v>
      </c>
      <c r="BA37" s="118">
        <v>4295</v>
      </c>
      <c r="BB37" s="41">
        <v>14409</v>
      </c>
      <c r="BD37" s="43" t="s">
        <v>28</v>
      </c>
      <c r="BE37" s="41">
        <v>1551</v>
      </c>
      <c r="BF37" s="118">
        <v>1075</v>
      </c>
      <c r="BG37" s="41">
        <v>1445</v>
      </c>
      <c r="BI37" s="43" t="s">
        <v>28</v>
      </c>
      <c r="BJ37" s="41">
        <v>8293</v>
      </c>
      <c r="BK37" s="118">
        <v>5837</v>
      </c>
      <c r="BL37" s="41">
        <v>11369</v>
      </c>
      <c r="BN37" s="43" t="s">
        <v>28</v>
      </c>
      <c r="BO37" s="41">
        <v>270</v>
      </c>
      <c r="BP37" s="118">
        <v>90</v>
      </c>
      <c r="BQ37" s="41">
        <v>166</v>
      </c>
      <c r="BS37" s="43" t="s">
        <v>28</v>
      </c>
      <c r="BT37" s="41">
        <v>605</v>
      </c>
      <c r="BU37" s="118">
        <v>401</v>
      </c>
      <c r="BV37" s="41">
        <v>881</v>
      </c>
      <c r="BX37" s="43" t="s">
        <v>28</v>
      </c>
      <c r="BY37" s="41">
        <v>14245</v>
      </c>
      <c r="BZ37" s="118">
        <v>19185</v>
      </c>
      <c r="CA37" s="41">
        <v>64410</v>
      </c>
      <c r="CB37" s="30"/>
      <c r="CC37" s="43" t="s">
        <v>28</v>
      </c>
      <c r="CD37" s="41">
        <v>796</v>
      </c>
      <c r="CE37" s="118">
        <v>2318</v>
      </c>
      <c r="CF37" s="41">
        <v>8626</v>
      </c>
      <c r="CG37" s="30"/>
      <c r="CH37" s="43" t="s">
        <v>28</v>
      </c>
      <c r="CI37" s="41">
        <v>219</v>
      </c>
      <c r="CJ37" s="118">
        <v>1117</v>
      </c>
      <c r="CK37" s="41">
        <v>473</v>
      </c>
      <c r="CL37" s="30"/>
      <c r="CM37" s="43" t="s">
        <v>28</v>
      </c>
      <c r="CN37" s="41">
        <v>40</v>
      </c>
      <c r="CO37" s="118">
        <v>31</v>
      </c>
      <c r="CP37" s="41">
        <v>55</v>
      </c>
      <c r="CR37" s="43" t="s">
        <v>28</v>
      </c>
      <c r="CS37" s="41">
        <v>127</v>
      </c>
      <c r="CT37" s="118">
        <v>54</v>
      </c>
      <c r="CU37" s="41">
        <v>83</v>
      </c>
      <c r="CW37" s="43" t="s">
        <v>28</v>
      </c>
      <c r="CX37" s="41">
        <v>95</v>
      </c>
      <c r="CY37" s="118">
        <v>91</v>
      </c>
      <c r="CZ37" s="41">
        <v>91</v>
      </c>
      <c r="DB37" s="43" t="s">
        <v>28</v>
      </c>
      <c r="DC37" s="41">
        <v>2024</v>
      </c>
      <c r="DD37" s="118">
        <v>1958</v>
      </c>
      <c r="DE37" s="41">
        <v>3446</v>
      </c>
      <c r="DG37" s="43" t="s">
        <v>28</v>
      </c>
      <c r="DH37" s="41">
        <v>462</v>
      </c>
      <c r="DI37" s="118">
        <v>1329</v>
      </c>
      <c r="DJ37" s="41">
        <v>4824</v>
      </c>
      <c r="DL37" s="43" t="s">
        <v>28</v>
      </c>
      <c r="DM37" s="41">
        <v>58</v>
      </c>
      <c r="DN37" s="118">
        <v>48</v>
      </c>
      <c r="DO37" s="41">
        <v>102</v>
      </c>
      <c r="DQ37" s="43" t="s">
        <v>28</v>
      </c>
      <c r="DR37" s="41">
        <v>13022</v>
      </c>
      <c r="DS37" s="118">
        <v>11621</v>
      </c>
      <c r="DT37" s="41">
        <v>22829</v>
      </c>
      <c r="DV37" s="43" t="s">
        <v>28</v>
      </c>
      <c r="DW37" s="41">
        <v>38723</v>
      </c>
      <c r="DX37" s="118">
        <v>32298</v>
      </c>
      <c r="DY37" s="41">
        <v>53975</v>
      </c>
      <c r="EA37" s="43" t="s">
        <v>28</v>
      </c>
      <c r="EB37" s="41">
        <v>4735</v>
      </c>
      <c r="EC37" s="118">
        <v>4674</v>
      </c>
      <c r="ED37" s="41">
        <v>12421</v>
      </c>
      <c r="EF37" s="43" t="s">
        <v>28</v>
      </c>
      <c r="EG37" s="41">
        <v>8565</v>
      </c>
      <c r="EH37" s="118">
        <v>4725</v>
      </c>
      <c r="EI37" s="41">
        <v>11922</v>
      </c>
      <c r="EK37" s="43" t="s">
        <v>28</v>
      </c>
      <c r="EL37" s="41">
        <v>5237</v>
      </c>
      <c r="EM37" s="118">
        <v>5809</v>
      </c>
      <c r="EN37" s="41">
        <v>14961</v>
      </c>
      <c r="EP37" s="43" t="s">
        <v>28</v>
      </c>
      <c r="EQ37" s="41">
        <v>3992</v>
      </c>
      <c r="ER37" s="118">
        <v>2559</v>
      </c>
      <c r="ES37" s="41">
        <v>10211</v>
      </c>
      <c r="EU37" s="43" t="s">
        <v>28</v>
      </c>
      <c r="EV37" s="41">
        <v>2228</v>
      </c>
      <c r="EW37" s="118">
        <v>2287</v>
      </c>
      <c r="EX37" s="41">
        <v>10203</v>
      </c>
      <c r="EZ37" s="43" t="s">
        <v>28</v>
      </c>
      <c r="FA37" s="41">
        <v>6385</v>
      </c>
      <c r="FB37" s="118">
        <v>5167</v>
      </c>
      <c r="FC37" s="41">
        <v>12447</v>
      </c>
      <c r="FE37" s="43" t="s">
        <v>28</v>
      </c>
      <c r="FF37" s="41">
        <v>939</v>
      </c>
      <c r="FG37" s="118">
        <v>366</v>
      </c>
      <c r="FH37" s="41">
        <v>1447</v>
      </c>
      <c r="FJ37" s="43" t="s">
        <v>28</v>
      </c>
      <c r="FK37" s="41">
        <v>49</v>
      </c>
      <c r="FL37" s="118">
        <v>43</v>
      </c>
      <c r="FM37" s="41">
        <v>240</v>
      </c>
    </row>
    <row r="38" spans="1:169" ht="15">
      <c r="A38" s="43" t="s">
        <v>29</v>
      </c>
      <c r="B38" s="142">
        <v>191860</v>
      </c>
      <c r="C38" s="118">
        <v>129004</v>
      </c>
      <c r="D38" s="143">
        <v>229558</v>
      </c>
      <c r="F38" s="43" t="s">
        <v>29</v>
      </c>
      <c r="G38" s="41">
        <v>661950</v>
      </c>
      <c r="H38" s="118">
        <v>446340</v>
      </c>
      <c r="I38" s="41">
        <v>808070</v>
      </c>
      <c r="K38" s="43" t="s">
        <v>29</v>
      </c>
      <c r="L38" s="120">
        <v>369002</v>
      </c>
      <c r="M38" s="120">
        <v>210879</v>
      </c>
      <c r="N38" s="120">
        <v>341207</v>
      </c>
      <c r="P38" s="43" t="s">
        <v>29</v>
      </c>
      <c r="Q38" s="41">
        <v>5651</v>
      </c>
      <c r="R38" s="118">
        <v>4510</v>
      </c>
      <c r="S38" s="41">
        <v>10103</v>
      </c>
      <c r="T38" s="6"/>
      <c r="U38" s="43" t="s">
        <v>29</v>
      </c>
      <c r="V38" s="41">
        <v>1134</v>
      </c>
      <c r="W38" s="118">
        <v>717.5</v>
      </c>
      <c r="X38" s="41">
        <v>1632.3999999999999</v>
      </c>
      <c r="Z38" s="43" t="s">
        <v>29</v>
      </c>
      <c r="AA38" s="41">
        <v>1620</v>
      </c>
      <c r="AB38" s="118">
        <v>1025</v>
      </c>
      <c r="AC38" s="41">
        <v>2332</v>
      </c>
      <c r="AE38" s="43" t="s">
        <v>29</v>
      </c>
      <c r="AF38" s="41">
        <v>7058</v>
      </c>
      <c r="AG38" s="118">
        <v>8241</v>
      </c>
      <c r="AH38" s="41">
        <v>26353</v>
      </c>
      <c r="AJ38" s="43" t="s">
        <v>29</v>
      </c>
      <c r="AK38" s="41">
        <v>274</v>
      </c>
      <c r="AL38" s="118">
        <v>1472</v>
      </c>
      <c r="AM38" s="41">
        <v>4913</v>
      </c>
      <c r="AO38" s="43" t="s">
        <v>29</v>
      </c>
      <c r="AP38" s="41">
        <v>469</v>
      </c>
      <c r="AQ38" s="118">
        <v>3120</v>
      </c>
      <c r="AR38" s="41">
        <v>11381</v>
      </c>
      <c r="AT38" s="43" t="s">
        <v>29</v>
      </c>
      <c r="AU38" s="41">
        <v>627</v>
      </c>
      <c r="AV38" s="118">
        <v>1724</v>
      </c>
      <c r="AW38" s="41">
        <v>5406</v>
      </c>
      <c r="AY38" s="43" t="s">
        <v>29</v>
      </c>
      <c r="AZ38" s="41">
        <v>285</v>
      </c>
      <c r="BA38" s="118">
        <v>3462</v>
      </c>
      <c r="BB38" s="41">
        <v>13581</v>
      </c>
      <c r="BD38" s="43" t="s">
        <v>29</v>
      </c>
      <c r="BE38" s="41">
        <v>1405</v>
      </c>
      <c r="BF38" s="118">
        <v>862</v>
      </c>
      <c r="BG38" s="41">
        <v>1374</v>
      </c>
      <c r="BI38" s="43" t="s">
        <v>29</v>
      </c>
      <c r="BJ38" s="41">
        <v>8836</v>
      </c>
      <c r="BK38" s="118">
        <v>5256</v>
      </c>
      <c r="BL38" s="41">
        <v>10808</v>
      </c>
      <c r="BN38" s="43" t="s">
        <v>29</v>
      </c>
      <c r="BO38" s="41">
        <v>333</v>
      </c>
      <c r="BP38" s="118">
        <v>123</v>
      </c>
      <c r="BQ38" s="41">
        <v>235</v>
      </c>
      <c r="BS38" s="43" t="s">
        <v>29</v>
      </c>
      <c r="BT38" s="41">
        <v>506</v>
      </c>
      <c r="BU38" s="118">
        <v>414</v>
      </c>
      <c r="BV38" s="41">
        <v>790</v>
      </c>
      <c r="BX38" s="43" t="s">
        <v>29</v>
      </c>
      <c r="BY38" s="41">
        <v>13607</v>
      </c>
      <c r="BZ38" s="118">
        <v>16106</v>
      </c>
      <c r="CA38" s="41">
        <v>61300</v>
      </c>
      <c r="CB38" s="30"/>
      <c r="CC38" s="43" t="s">
        <v>29</v>
      </c>
      <c r="CD38" s="41">
        <v>796</v>
      </c>
      <c r="CE38" s="118">
        <v>2318</v>
      </c>
      <c r="CF38" s="41">
        <v>8626</v>
      </c>
      <c r="CG38" s="30"/>
      <c r="CH38" s="43" t="s">
        <v>29</v>
      </c>
      <c r="CI38" s="41">
        <v>195</v>
      </c>
      <c r="CJ38" s="118">
        <v>1230</v>
      </c>
      <c r="CK38" s="41">
        <v>452</v>
      </c>
      <c r="CL38" s="30"/>
      <c r="CM38" s="43" t="s">
        <v>29</v>
      </c>
      <c r="CN38" s="41">
        <v>41</v>
      </c>
      <c r="CO38" s="118">
        <v>29</v>
      </c>
      <c r="CP38" s="41">
        <v>55</v>
      </c>
      <c r="CR38" s="43" t="s">
        <v>29</v>
      </c>
      <c r="CS38" s="41">
        <v>119</v>
      </c>
      <c r="CT38" s="118">
        <v>78</v>
      </c>
      <c r="CU38" s="41">
        <v>84</v>
      </c>
      <c r="CW38" s="43" t="s">
        <v>29</v>
      </c>
      <c r="CX38" s="41">
        <v>85</v>
      </c>
      <c r="CY38" s="118">
        <v>99</v>
      </c>
      <c r="CZ38" s="41">
        <v>84</v>
      </c>
      <c r="DB38" s="43" t="s">
        <v>29</v>
      </c>
      <c r="DC38" s="41">
        <v>2399</v>
      </c>
      <c r="DD38" s="118">
        <v>1861</v>
      </c>
      <c r="DE38" s="41">
        <v>2996</v>
      </c>
      <c r="DG38" s="43" t="s">
        <v>29</v>
      </c>
      <c r="DH38" s="41">
        <v>386</v>
      </c>
      <c r="DI38" s="118">
        <v>1049</v>
      </c>
      <c r="DJ38" s="41">
        <v>4541</v>
      </c>
      <c r="DL38" s="43" t="s">
        <v>29</v>
      </c>
      <c r="DM38" s="41">
        <v>64</v>
      </c>
      <c r="DN38" s="118">
        <v>42</v>
      </c>
      <c r="DO38" s="41">
        <v>98</v>
      </c>
      <c r="DQ38" s="43" t="s">
        <v>29</v>
      </c>
      <c r="DR38" s="41">
        <v>16348</v>
      </c>
      <c r="DS38" s="118">
        <v>12591</v>
      </c>
      <c r="DT38" s="41">
        <v>26268</v>
      </c>
      <c r="DV38" s="43" t="s">
        <v>29</v>
      </c>
      <c r="DW38" s="41">
        <v>46374</v>
      </c>
      <c r="DX38" s="118">
        <v>35696</v>
      </c>
      <c r="DY38" s="41">
        <v>62530</v>
      </c>
      <c r="EA38" s="43" t="s">
        <v>29</v>
      </c>
      <c r="EB38" s="41">
        <v>3508</v>
      </c>
      <c r="EC38" s="118">
        <v>3752</v>
      </c>
      <c r="ED38" s="41">
        <v>10720</v>
      </c>
      <c r="EF38" s="43" t="s">
        <v>29</v>
      </c>
      <c r="EG38" s="41">
        <v>8720</v>
      </c>
      <c r="EH38" s="118">
        <v>4255</v>
      </c>
      <c r="EI38" s="41">
        <v>11517</v>
      </c>
      <c r="EK38" s="43" t="s">
        <v>29</v>
      </c>
      <c r="EL38" s="41">
        <v>2440</v>
      </c>
      <c r="EM38" s="118">
        <v>2166</v>
      </c>
      <c r="EN38" s="41">
        <v>11967</v>
      </c>
      <c r="EP38" s="43" t="s">
        <v>29</v>
      </c>
      <c r="EQ38" s="41">
        <v>4651</v>
      </c>
      <c r="ER38" s="118">
        <v>4616</v>
      </c>
      <c r="ES38" s="41">
        <v>11156</v>
      </c>
      <c r="EU38" s="43" t="s">
        <v>29</v>
      </c>
      <c r="EV38" s="41">
        <v>4701</v>
      </c>
      <c r="EW38" s="118">
        <v>4582</v>
      </c>
      <c r="EX38" s="41">
        <v>13368</v>
      </c>
      <c r="EZ38" s="43" t="s">
        <v>29</v>
      </c>
      <c r="FA38" s="41">
        <v>2159</v>
      </c>
      <c r="FB38" s="118">
        <v>1975</v>
      </c>
      <c r="FC38" s="41">
        <v>7950</v>
      </c>
      <c r="FE38" s="43" t="s">
        <v>29</v>
      </c>
      <c r="FF38" s="41">
        <v>917</v>
      </c>
      <c r="FG38" s="118">
        <v>341</v>
      </c>
      <c r="FH38" s="41">
        <v>1420</v>
      </c>
      <c r="FJ38" s="43" t="s">
        <v>29</v>
      </c>
      <c r="FK38" s="41">
        <v>54</v>
      </c>
      <c r="FL38" s="118">
        <v>45</v>
      </c>
      <c r="FM38" s="41">
        <v>267</v>
      </c>
    </row>
    <row r="39" spans="1:169" ht="15">
      <c r="A39" s="43" t="s">
        <v>30</v>
      </c>
      <c r="B39" s="142">
        <v>219562</v>
      </c>
      <c r="C39" s="118">
        <v>145574</v>
      </c>
      <c r="D39" s="143">
        <v>252948</v>
      </c>
      <c r="F39" s="43" t="s">
        <v>30</v>
      </c>
      <c r="G39" s="41">
        <v>770250</v>
      </c>
      <c r="H39" s="118">
        <v>502192</v>
      </c>
      <c r="I39" s="41">
        <v>902726</v>
      </c>
      <c r="K39" s="43" t="s">
        <v>30</v>
      </c>
      <c r="L39" s="120">
        <v>433920</v>
      </c>
      <c r="M39" s="120">
        <v>230085</v>
      </c>
      <c r="N39" s="120">
        <v>362948</v>
      </c>
      <c r="P39" s="43" t="s">
        <v>30</v>
      </c>
      <c r="Q39" s="41">
        <v>6106</v>
      </c>
      <c r="R39" s="118">
        <v>4651</v>
      </c>
      <c r="S39" s="41">
        <v>9991</v>
      </c>
      <c r="T39" s="6"/>
      <c r="U39" s="43" t="s">
        <v>30</v>
      </c>
      <c r="V39" s="41">
        <v>1001.6999999999999</v>
      </c>
      <c r="W39" s="118">
        <v>667.09999999999991</v>
      </c>
      <c r="X39" s="41">
        <v>1570.1</v>
      </c>
      <c r="Z39" s="43" t="s">
        <v>30</v>
      </c>
      <c r="AA39" s="41">
        <v>1431</v>
      </c>
      <c r="AB39" s="118">
        <v>953</v>
      </c>
      <c r="AC39" s="41">
        <v>2243</v>
      </c>
      <c r="AE39" s="43" t="s">
        <v>30</v>
      </c>
      <c r="AF39" s="41">
        <v>7953</v>
      </c>
      <c r="AG39" s="118">
        <v>8206</v>
      </c>
      <c r="AH39" s="41">
        <v>25629</v>
      </c>
      <c r="AJ39" s="43" t="s">
        <v>30</v>
      </c>
      <c r="AK39" s="41">
        <v>217</v>
      </c>
      <c r="AL39" s="118">
        <v>1212</v>
      </c>
      <c r="AM39" s="41">
        <v>4319</v>
      </c>
      <c r="AO39" s="43" t="s">
        <v>30</v>
      </c>
      <c r="AP39" s="41">
        <v>391</v>
      </c>
      <c r="AQ39" s="118">
        <v>2497</v>
      </c>
      <c r="AR39" s="41">
        <v>10381</v>
      </c>
      <c r="AT39" s="43" t="s">
        <v>30</v>
      </c>
      <c r="AU39" s="41">
        <v>678</v>
      </c>
      <c r="AV39" s="118">
        <v>1527</v>
      </c>
      <c r="AW39" s="41">
        <v>4895</v>
      </c>
      <c r="AY39" s="43" t="s">
        <v>30</v>
      </c>
      <c r="AZ39" s="41">
        <v>194</v>
      </c>
      <c r="BA39" s="118">
        <v>2719</v>
      </c>
      <c r="BB39" s="41">
        <v>12241</v>
      </c>
      <c r="BD39" s="43" t="s">
        <v>30</v>
      </c>
      <c r="BE39" s="41">
        <v>1068</v>
      </c>
      <c r="BF39" s="118">
        <v>727</v>
      </c>
      <c r="BG39" s="41">
        <v>1166</v>
      </c>
      <c r="BI39" s="43" t="s">
        <v>30</v>
      </c>
      <c r="BJ39" s="41">
        <v>9860</v>
      </c>
      <c r="BK39" s="118">
        <v>5622</v>
      </c>
      <c r="BL39" s="41">
        <v>11037</v>
      </c>
      <c r="BN39" s="43" t="s">
        <v>30</v>
      </c>
      <c r="BO39" s="41">
        <v>2763</v>
      </c>
      <c r="BP39" s="118">
        <v>753</v>
      </c>
      <c r="BQ39" s="41">
        <v>962</v>
      </c>
      <c r="BS39" s="43" t="s">
        <v>30</v>
      </c>
      <c r="BT39" s="41">
        <v>471</v>
      </c>
      <c r="BU39" s="118">
        <v>345</v>
      </c>
      <c r="BV39" s="41">
        <v>652</v>
      </c>
      <c r="BX39" s="43" t="s">
        <v>30</v>
      </c>
      <c r="BY39" s="41">
        <v>30831</v>
      </c>
      <c r="BZ39" s="118">
        <v>22304</v>
      </c>
      <c r="CA39" s="41">
        <v>65155</v>
      </c>
      <c r="CB39" s="30"/>
      <c r="CC39" s="43" t="s">
        <v>30</v>
      </c>
      <c r="CD39" s="41">
        <v>792</v>
      </c>
      <c r="CE39" s="118">
        <v>2083</v>
      </c>
      <c r="CF39" s="41">
        <v>8111</v>
      </c>
      <c r="CG39" s="30"/>
      <c r="CH39" s="43" t="s">
        <v>30</v>
      </c>
      <c r="CI39" s="41">
        <v>156</v>
      </c>
      <c r="CJ39" s="118">
        <v>1156</v>
      </c>
      <c r="CK39" s="41">
        <v>491</v>
      </c>
      <c r="CL39" s="30"/>
      <c r="CM39" s="43" t="s">
        <v>30</v>
      </c>
      <c r="CN39" s="41">
        <v>40</v>
      </c>
      <c r="CO39" s="118">
        <v>27</v>
      </c>
      <c r="CP39" s="41">
        <v>52</v>
      </c>
      <c r="CR39" s="43" t="s">
        <v>30</v>
      </c>
      <c r="CS39" s="41">
        <v>114</v>
      </c>
      <c r="CT39" s="118">
        <v>65</v>
      </c>
      <c r="CU39" s="41">
        <v>87</v>
      </c>
      <c r="CW39" s="43" t="s">
        <v>30</v>
      </c>
      <c r="CX39" s="41">
        <v>88</v>
      </c>
      <c r="CY39" s="118">
        <v>88</v>
      </c>
      <c r="CZ39" s="41">
        <v>98</v>
      </c>
      <c r="DB39" s="43" t="s">
        <v>30</v>
      </c>
      <c r="DC39" s="41">
        <v>2104</v>
      </c>
      <c r="DD39" s="118">
        <v>1997</v>
      </c>
      <c r="DE39" s="41">
        <v>2738</v>
      </c>
      <c r="DG39" s="43" t="s">
        <v>30</v>
      </c>
      <c r="DH39" s="41">
        <v>264</v>
      </c>
      <c r="DI39" s="118">
        <v>819</v>
      </c>
      <c r="DJ39" s="41">
        <v>4179</v>
      </c>
      <c r="DL39" s="43" t="s">
        <v>30</v>
      </c>
      <c r="DM39" s="41">
        <v>61</v>
      </c>
      <c r="DN39" s="118">
        <v>45</v>
      </c>
      <c r="DO39" s="41">
        <v>99</v>
      </c>
      <c r="DQ39" s="43" t="s">
        <v>30</v>
      </c>
      <c r="DR39" s="41">
        <v>20371</v>
      </c>
      <c r="DS39" s="118">
        <v>14607</v>
      </c>
      <c r="DT39" s="41">
        <v>30304</v>
      </c>
      <c r="DV39" s="43" t="s">
        <v>30</v>
      </c>
      <c r="DW39" s="41">
        <v>48399</v>
      </c>
      <c r="DX39" s="118">
        <v>33991</v>
      </c>
      <c r="DY39" s="41">
        <v>57425</v>
      </c>
      <c r="EA39" s="43" t="s">
        <v>30</v>
      </c>
      <c r="EB39" s="41">
        <v>4430</v>
      </c>
      <c r="EC39" s="118">
        <v>3631</v>
      </c>
      <c r="ED39" s="41">
        <v>10070</v>
      </c>
      <c r="EF39" s="43" t="s">
        <v>30</v>
      </c>
      <c r="EG39" s="41">
        <v>11138</v>
      </c>
      <c r="EH39" s="118">
        <v>4302</v>
      </c>
      <c r="EI39" s="41">
        <v>11065</v>
      </c>
      <c r="EK39" s="43" t="s">
        <v>30</v>
      </c>
      <c r="EL39" s="41">
        <v>1686</v>
      </c>
      <c r="EM39" s="118">
        <v>1502</v>
      </c>
      <c r="EN39" s="41">
        <v>10017</v>
      </c>
      <c r="EP39" s="43" t="s">
        <v>30</v>
      </c>
      <c r="EQ39" s="41">
        <v>4328</v>
      </c>
      <c r="ER39" s="118">
        <v>4293</v>
      </c>
      <c r="ES39" s="41">
        <v>10515</v>
      </c>
      <c r="EU39" s="43" t="s">
        <v>30</v>
      </c>
      <c r="EV39" s="41">
        <v>4723</v>
      </c>
      <c r="EW39" s="118">
        <v>4065</v>
      </c>
      <c r="EX39" s="41">
        <v>12436</v>
      </c>
      <c r="EZ39" s="43" t="s">
        <v>30</v>
      </c>
      <c r="FA39" s="41">
        <v>1476</v>
      </c>
      <c r="FB39" s="118">
        <v>1468</v>
      </c>
      <c r="FC39" s="41">
        <v>6883</v>
      </c>
      <c r="FE39" s="43" t="s">
        <v>30</v>
      </c>
      <c r="FF39" s="41">
        <v>909</v>
      </c>
      <c r="FG39" s="118">
        <v>283</v>
      </c>
      <c r="FH39" s="41">
        <v>1229</v>
      </c>
      <c r="FJ39" s="43" t="s">
        <v>30</v>
      </c>
      <c r="FK39" s="41">
        <v>43</v>
      </c>
      <c r="FL39" s="118">
        <v>34</v>
      </c>
      <c r="FM39" s="41">
        <v>227</v>
      </c>
    </row>
    <row r="40" spans="1:169" ht="15">
      <c r="A40" s="43" t="s">
        <v>31</v>
      </c>
      <c r="B40" s="117">
        <v>279924</v>
      </c>
      <c r="C40" s="118">
        <v>191846</v>
      </c>
      <c r="D40" s="119">
        <v>300813</v>
      </c>
      <c r="F40" s="43" t="s">
        <v>31</v>
      </c>
      <c r="G40" s="41">
        <v>914096</v>
      </c>
      <c r="H40" s="118">
        <v>605452</v>
      </c>
      <c r="I40" s="41">
        <v>1007898</v>
      </c>
      <c r="K40" s="43" t="s">
        <v>31</v>
      </c>
      <c r="L40" s="41">
        <v>495297</v>
      </c>
      <c r="M40" s="118">
        <v>288881</v>
      </c>
      <c r="N40" s="41">
        <v>414593</v>
      </c>
      <c r="P40" s="43" t="s">
        <v>31</v>
      </c>
      <c r="Q40" s="41">
        <v>11437</v>
      </c>
      <c r="R40" s="118">
        <v>9864</v>
      </c>
      <c r="S40" s="41">
        <v>20946</v>
      </c>
      <c r="T40" s="6"/>
      <c r="U40" s="43" t="s">
        <v>31</v>
      </c>
      <c r="V40" s="41">
        <v>993.3</v>
      </c>
      <c r="W40" s="118">
        <v>709.09999999999991</v>
      </c>
      <c r="X40" s="41">
        <v>1580.6</v>
      </c>
      <c r="Z40" s="43" t="s">
        <v>31</v>
      </c>
      <c r="AA40" s="41">
        <v>1419</v>
      </c>
      <c r="AB40" s="118">
        <v>1013</v>
      </c>
      <c r="AC40" s="41">
        <v>2258</v>
      </c>
      <c r="AE40" s="43" t="s">
        <v>31</v>
      </c>
      <c r="AF40" s="41">
        <v>8689</v>
      </c>
      <c r="AG40" s="118">
        <v>9437</v>
      </c>
      <c r="AH40" s="41">
        <v>27520</v>
      </c>
      <c r="AJ40" s="43" t="s">
        <v>31</v>
      </c>
      <c r="AK40" s="41">
        <v>182</v>
      </c>
      <c r="AL40" s="118">
        <v>1212</v>
      </c>
      <c r="AM40" s="41">
        <v>4383</v>
      </c>
      <c r="AO40" s="43" t="s">
        <v>31</v>
      </c>
      <c r="AP40" s="41">
        <v>551</v>
      </c>
      <c r="AQ40" s="118">
        <v>2654</v>
      </c>
      <c r="AR40" s="41">
        <v>11171</v>
      </c>
      <c r="AT40" s="43" t="s">
        <v>31</v>
      </c>
      <c r="AU40" s="41">
        <v>723</v>
      </c>
      <c r="AV40" s="118">
        <v>1665</v>
      </c>
      <c r="AW40" s="41">
        <v>5250</v>
      </c>
      <c r="AY40" s="43" t="s">
        <v>31</v>
      </c>
      <c r="AZ40" s="41">
        <v>192</v>
      </c>
      <c r="BA40" s="118">
        <v>2882</v>
      </c>
      <c r="BB40" s="41">
        <v>12794</v>
      </c>
      <c r="BD40" s="43" t="s">
        <v>31</v>
      </c>
      <c r="BE40" s="41">
        <v>1416</v>
      </c>
      <c r="BF40" s="118">
        <v>1066</v>
      </c>
      <c r="BG40" s="41">
        <v>1524</v>
      </c>
      <c r="BI40" s="43" t="s">
        <v>31</v>
      </c>
      <c r="BJ40" s="41">
        <v>11719</v>
      </c>
      <c r="BK40" s="118">
        <v>6600</v>
      </c>
      <c r="BL40" s="41">
        <v>12229</v>
      </c>
      <c r="BN40" s="43" t="s">
        <v>31</v>
      </c>
      <c r="BO40" s="41">
        <v>4275</v>
      </c>
      <c r="BP40" s="118">
        <v>1589</v>
      </c>
      <c r="BQ40" s="41">
        <v>2613</v>
      </c>
      <c r="BS40" s="43" t="s">
        <v>31</v>
      </c>
      <c r="BT40" s="41">
        <v>515</v>
      </c>
      <c r="BU40" s="118">
        <v>364</v>
      </c>
      <c r="BV40" s="41">
        <v>636</v>
      </c>
      <c r="BX40" s="43" t="s">
        <v>31</v>
      </c>
      <c r="BY40" s="41">
        <v>48892</v>
      </c>
      <c r="BZ40" s="118">
        <v>37650</v>
      </c>
      <c r="CA40" s="41">
        <v>90746</v>
      </c>
      <c r="CB40" s="30"/>
      <c r="CC40" s="43" t="s">
        <v>31</v>
      </c>
      <c r="CD40" s="41">
        <v>812</v>
      </c>
      <c r="CE40" s="118">
        <v>2150</v>
      </c>
      <c r="CF40" s="41">
        <v>8290</v>
      </c>
      <c r="CG40" s="30"/>
      <c r="CH40" s="43" t="s">
        <v>31</v>
      </c>
      <c r="CI40" s="41">
        <v>67</v>
      </c>
      <c r="CJ40" s="118">
        <v>45</v>
      </c>
      <c r="CK40" s="41">
        <v>78</v>
      </c>
      <c r="CL40" s="30"/>
      <c r="CM40" s="43" t="s">
        <v>31</v>
      </c>
      <c r="CN40" s="41">
        <v>40</v>
      </c>
      <c r="CO40" s="118">
        <v>30</v>
      </c>
      <c r="CP40" s="41">
        <v>54</v>
      </c>
      <c r="CR40" s="43" t="s">
        <v>31</v>
      </c>
      <c r="CS40" s="41">
        <v>125</v>
      </c>
      <c r="CT40" s="118">
        <v>79</v>
      </c>
      <c r="CU40" s="41">
        <v>89</v>
      </c>
      <c r="CW40" s="43" t="s">
        <v>31</v>
      </c>
      <c r="CX40" s="41">
        <v>96</v>
      </c>
      <c r="CY40" s="118">
        <v>85</v>
      </c>
      <c r="CZ40" s="41">
        <v>91</v>
      </c>
      <c r="DB40" s="43" t="s">
        <v>31</v>
      </c>
      <c r="DC40" s="41">
        <v>2166</v>
      </c>
      <c r="DD40" s="118">
        <v>1506</v>
      </c>
      <c r="DE40" s="41">
        <v>3310</v>
      </c>
      <c r="DG40" s="43" t="s">
        <v>31</v>
      </c>
      <c r="DH40" s="41">
        <v>266</v>
      </c>
      <c r="DI40" s="118">
        <v>901</v>
      </c>
      <c r="DJ40" s="41">
        <v>4410</v>
      </c>
      <c r="DL40" s="43" t="s">
        <v>31</v>
      </c>
      <c r="DM40" s="41">
        <v>325</v>
      </c>
      <c r="DN40" s="118">
        <v>270</v>
      </c>
      <c r="DO40" s="41">
        <v>451</v>
      </c>
      <c r="DQ40" s="43" t="s">
        <v>31</v>
      </c>
      <c r="DR40" s="41">
        <v>22382</v>
      </c>
      <c r="DS40" s="118">
        <v>17137</v>
      </c>
      <c r="DT40" s="41">
        <v>32304</v>
      </c>
      <c r="DV40" s="43" t="s">
        <v>31</v>
      </c>
      <c r="DW40" s="41">
        <v>56518</v>
      </c>
      <c r="DX40" s="118">
        <v>43761</v>
      </c>
      <c r="DY40" s="41">
        <v>67899</v>
      </c>
      <c r="EA40" s="43" t="s">
        <v>31</v>
      </c>
      <c r="EB40" s="41">
        <v>5713</v>
      </c>
      <c r="EC40" s="118">
        <v>4249</v>
      </c>
      <c r="ED40" s="41">
        <v>11122</v>
      </c>
      <c r="EF40" s="43" t="s">
        <v>31</v>
      </c>
      <c r="EG40" s="41">
        <v>15265</v>
      </c>
      <c r="EH40" s="118">
        <v>5172</v>
      </c>
      <c r="EI40" s="41">
        <v>12347</v>
      </c>
      <c r="EK40" s="43" t="s">
        <v>31</v>
      </c>
      <c r="EL40" s="41">
        <v>1720</v>
      </c>
      <c r="EM40" s="118">
        <v>1504</v>
      </c>
      <c r="EN40" s="41">
        <v>10199</v>
      </c>
      <c r="EP40" s="43" t="s">
        <v>31</v>
      </c>
      <c r="EQ40" s="41">
        <v>4561</v>
      </c>
      <c r="ER40" s="118">
        <v>4667</v>
      </c>
      <c r="ES40" s="41">
        <v>10910</v>
      </c>
      <c r="EU40" s="43" t="s">
        <v>31</v>
      </c>
      <c r="EV40" s="41">
        <v>4631</v>
      </c>
      <c r="EW40" s="118">
        <v>4463</v>
      </c>
      <c r="EX40" s="41">
        <v>12920</v>
      </c>
      <c r="EZ40" s="43" t="s">
        <v>31</v>
      </c>
      <c r="FA40" s="41">
        <v>1598</v>
      </c>
      <c r="FB40" s="118">
        <v>1574</v>
      </c>
      <c r="FC40" s="41">
        <v>7125</v>
      </c>
      <c r="FE40" s="43" t="s">
        <v>31</v>
      </c>
      <c r="FF40" s="41">
        <v>927</v>
      </c>
      <c r="FG40" s="118">
        <v>301</v>
      </c>
      <c r="FH40" s="41">
        <v>1223</v>
      </c>
      <c r="FJ40" s="43" t="s">
        <v>31</v>
      </c>
      <c r="FK40" s="41">
        <v>76</v>
      </c>
      <c r="FL40" s="118">
        <v>48</v>
      </c>
      <c r="FM40" s="41">
        <v>219</v>
      </c>
    </row>
    <row r="41" spans="1:169" ht="15">
      <c r="A41" s="43" t="s">
        <v>32</v>
      </c>
      <c r="B41" s="117">
        <v>215856</v>
      </c>
      <c r="C41" s="118">
        <v>141709</v>
      </c>
      <c r="D41" s="119">
        <v>260765</v>
      </c>
      <c r="F41" s="43" t="s">
        <v>32</v>
      </c>
      <c r="G41" s="41">
        <v>682956</v>
      </c>
      <c r="H41" s="118">
        <v>485022</v>
      </c>
      <c r="I41" s="41">
        <v>863197</v>
      </c>
      <c r="K41" s="43" t="s">
        <v>32</v>
      </c>
      <c r="L41" s="41">
        <v>497792</v>
      </c>
      <c r="M41" s="118">
        <v>258237</v>
      </c>
      <c r="N41" s="41">
        <v>407087</v>
      </c>
      <c r="P41" s="43" t="s">
        <v>32</v>
      </c>
      <c r="Q41" s="41">
        <v>5923</v>
      </c>
      <c r="R41" s="118">
        <v>4439</v>
      </c>
      <c r="S41" s="41">
        <v>10127</v>
      </c>
      <c r="T41" s="6"/>
      <c r="U41" s="43" t="s">
        <v>32</v>
      </c>
      <c r="V41" s="41">
        <v>939.4</v>
      </c>
      <c r="W41" s="118">
        <v>646.79999999999995</v>
      </c>
      <c r="X41" s="41">
        <v>1504.3</v>
      </c>
      <c r="Z41" s="43" t="s">
        <v>32</v>
      </c>
      <c r="AA41" s="41">
        <v>1342</v>
      </c>
      <c r="AB41" s="118">
        <v>924</v>
      </c>
      <c r="AC41" s="41">
        <v>2149</v>
      </c>
      <c r="AE41" s="43" t="s">
        <v>32</v>
      </c>
      <c r="AF41" s="41">
        <v>6972</v>
      </c>
      <c r="AG41" s="118">
        <v>7405</v>
      </c>
      <c r="AH41" s="41">
        <v>21299</v>
      </c>
      <c r="AJ41" s="43" t="s">
        <v>32</v>
      </c>
      <c r="AK41" s="41">
        <v>181</v>
      </c>
      <c r="AL41" s="118">
        <v>1415</v>
      </c>
      <c r="AM41" s="41">
        <v>4631</v>
      </c>
      <c r="AO41" s="43" t="s">
        <v>32</v>
      </c>
      <c r="AP41" s="41">
        <v>402</v>
      </c>
      <c r="AQ41" s="118">
        <v>3568</v>
      </c>
      <c r="AR41" s="41">
        <v>12528</v>
      </c>
      <c r="AT41" s="43" t="s">
        <v>32</v>
      </c>
      <c r="AU41" s="41">
        <v>698</v>
      </c>
      <c r="AV41" s="118">
        <v>1876</v>
      </c>
      <c r="AW41" s="41">
        <v>5597</v>
      </c>
      <c r="AY41" s="43" t="s">
        <v>32</v>
      </c>
      <c r="AZ41" s="41">
        <v>210</v>
      </c>
      <c r="BA41" s="118">
        <v>3739</v>
      </c>
      <c r="BB41" s="41">
        <v>13767</v>
      </c>
      <c r="BD41" s="43" t="s">
        <v>32</v>
      </c>
      <c r="BE41" s="41">
        <v>1365</v>
      </c>
      <c r="BF41" s="118">
        <v>952</v>
      </c>
      <c r="BG41" s="41">
        <v>1617</v>
      </c>
      <c r="BI41" s="43" t="s">
        <v>32</v>
      </c>
      <c r="BJ41" s="41">
        <v>9610</v>
      </c>
      <c r="BK41" s="118">
        <v>5936</v>
      </c>
      <c r="BL41" s="41">
        <v>12089</v>
      </c>
      <c r="BN41" s="43" t="s">
        <v>32</v>
      </c>
      <c r="BO41" s="41">
        <v>3952</v>
      </c>
      <c r="BP41" s="118">
        <v>1245</v>
      </c>
      <c r="BQ41" s="41">
        <v>2582</v>
      </c>
      <c r="BS41" s="43" t="s">
        <v>32</v>
      </c>
      <c r="BT41" s="41">
        <v>652</v>
      </c>
      <c r="BU41" s="118">
        <v>469</v>
      </c>
      <c r="BV41" s="41">
        <v>881</v>
      </c>
      <c r="BX41" s="43" t="s">
        <v>32</v>
      </c>
      <c r="BY41" s="41">
        <v>46056</v>
      </c>
      <c r="BZ41" s="118">
        <v>26192</v>
      </c>
      <c r="CA41" s="41">
        <v>74035</v>
      </c>
      <c r="CB41" s="30"/>
      <c r="CC41" s="43" t="s">
        <v>32</v>
      </c>
      <c r="CD41" s="41">
        <v>768</v>
      </c>
      <c r="CE41" s="118">
        <v>2176</v>
      </c>
      <c r="CF41" s="41">
        <v>8347</v>
      </c>
      <c r="CG41" s="30"/>
      <c r="CH41" s="43" t="s">
        <v>32</v>
      </c>
      <c r="CI41" s="41">
        <v>69</v>
      </c>
      <c r="CJ41" s="118">
        <v>41</v>
      </c>
      <c r="CK41" s="41">
        <v>77</v>
      </c>
      <c r="CL41" s="30"/>
      <c r="CM41" s="43" t="s">
        <v>32</v>
      </c>
      <c r="CN41" s="41">
        <v>41</v>
      </c>
      <c r="CO41" s="118">
        <v>28</v>
      </c>
      <c r="CP41" s="41">
        <v>54</v>
      </c>
      <c r="CR41" s="43" t="s">
        <v>32</v>
      </c>
      <c r="CS41" s="41">
        <v>118</v>
      </c>
      <c r="CT41" s="118">
        <v>68</v>
      </c>
      <c r="CU41" s="41">
        <v>88</v>
      </c>
      <c r="CW41" s="43" t="s">
        <v>32</v>
      </c>
      <c r="CX41" s="41">
        <v>88</v>
      </c>
      <c r="CY41" s="118">
        <v>96</v>
      </c>
      <c r="CZ41" s="41">
        <v>83</v>
      </c>
      <c r="DB41" s="43" t="s">
        <v>32</v>
      </c>
      <c r="DC41" s="41">
        <v>1723</v>
      </c>
      <c r="DD41" s="118">
        <v>1281</v>
      </c>
      <c r="DE41" s="41">
        <v>3253</v>
      </c>
      <c r="DG41" s="43" t="s">
        <v>32</v>
      </c>
      <c r="DH41" s="41">
        <v>316</v>
      </c>
      <c r="DI41" s="118">
        <v>1200</v>
      </c>
      <c r="DJ41" s="41">
        <v>4718</v>
      </c>
      <c r="DL41" s="43" t="s">
        <v>32</v>
      </c>
      <c r="DM41" s="41">
        <v>75</v>
      </c>
      <c r="DN41" s="118">
        <v>53</v>
      </c>
      <c r="DO41" s="41">
        <v>110</v>
      </c>
      <c r="DQ41" s="43" t="s">
        <v>32</v>
      </c>
      <c r="DR41" s="41">
        <v>22849</v>
      </c>
      <c r="DS41" s="118">
        <v>14984</v>
      </c>
      <c r="DT41" s="41">
        <v>29598</v>
      </c>
      <c r="DV41" s="43" t="s">
        <v>32</v>
      </c>
      <c r="DW41" s="41">
        <v>57883</v>
      </c>
      <c r="DX41" s="118">
        <v>38853</v>
      </c>
      <c r="DY41" s="41">
        <v>67487</v>
      </c>
      <c r="EA41" s="43" t="s">
        <v>32</v>
      </c>
      <c r="EB41" s="41">
        <v>5760</v>
      </c>
      <c r="EC41" s="118">
        <v>4462</v>
      </c>
      <c r="ED41" s="41">
        <v>11860</v>
      </c>
      <c r="EF41" s="43" t="s">
        <v>32</v>
      </c>
      <c r="EG41" s="41">
        <v>15391</v>
      </c>
      <c r="EH41" s="118">
        <v>5176</v>
      </c>
      <c r="EI41" s="41">
        <v>12769</v>
      </c>
      <c r="EK41" s="43" t="s">
        <v>32</v>
      </c>
      <c r="EL41" s="41">
        <v>1718</v>
      </c>
      <c r="EM41" s="118">
        <v>1786</v>
      </c>
      <c r="EN41" s="41">
        <v>11051</v>
      </c>
      <c r="EP41" s="43" t="s">
        <v>32</v>
      </c>
      <c r="EQ41" s="41">
        <v>4817</v>
      </c>
      <c r="ER41" s="118">
        <v>4756</v>
      </c>
      <c r="ES41" s="41">
        <v>11331</v>
      </c>
      <c r="EU41" s="43" t="s">
        <v>32</v>
      </c>
      <c r="EV41" s="41">
        <v>4830</v>
      </c>
      <c r="EW41" s="118">
        <v>4475</v>
      </c>
      <c r="EX41" s="41">
        <v>13409</v>
      </c>
      <c r="EZ41" s="43" t="s">
        <v>32</v>
      </c>
      <c r="FA41" s="41">
        <v>1570</v>
      </c>
      <c r="FB41" s="118">
        <v>1813</v>
      </c>
      <c r="FC41" s="41">
        <v>7537</v>
      </c>
      <c r="FE41" s="43" t="s">
        <v>32</v>
      </c>
      <c r="FF41" s="41">
        <v>926</v>
      </c>
      <c r="FG41" s="118">
        <v>296</v>
      </c>
      <c r="FH41" s="41">
        <v>1254</v>
      </c>
      <c r="FJ41" s="43" t="s">
        <v>32</v>
      </c>
      <c r="FK41" s="41">
        <v>50</v>
      </c>
      <c r="FL41" s="118">
        <v>44</v>
      </c>
      <c r="FM41" s="41">
        <v>246</v>
      </c>
    </row>
    <row r="42" spans="1:169" ht="15">
      <c r="A42" s="43" t="s">
        <v>33</v>
      </c>
      <c r="B42" s="117">
        <v>197937</v>
      </c>
      <c r="C42" s="118">
        <v>129178</v>
      </c>
      <c r="D42" s="119">
        <v>211779</v>
      </c>
      <c r="F42" s="43" t="s">
        <v>33</v>
      </c>
      <c r="G42" s="41">
        <v>537864</v>
      </c>
      <c r="H42" s="118">
        <v>463910</v>
      </c>
      <c r="I42" s="41">
        <v>791364</v>
      </c>
      <c r="K42" s="43" t="s">
        <v>33</v>
      </c>
      <c r="L42" s="41">
        <v>450161</v>
      </c>
      <c r="M42" s="118">
        <v>251148</v>
      </c>
      <c r="N42" s="41">
        <v>371732</v>
      </c>
      <c r="P42" s="43" t="s">
        <v>33</v>
      </c>
      <c r="Q42" s="41">
        <v>9036</v>
      </c>
      <c r="R42" s="118">
        <v>7723</v>
      </c>
      <c r="S42" s="41">
        <v>15690</v>
      </c>
      <c r="T42" s="6"/>
      <c r="U42" s="43" t="s">
        <v>33</v>
      </c>
      <c r="V42" s="41">
        <v>1019.1999999999999</v>
      </c>
      <c r="W42" s="118">
        <v>767.19999999999993</v>
      </c>
      <c r="X42" s="41">
        <v>1587.6</v>
      </c>
      <c r="Z42" s="43" t="s">
        <v>33</v>
      </c>
      <c r="AA42" s="41">
        <v>1456</v>
      </c>
      <c r="AB42" s="118">
        <v>1096</v>
      </c>
      <c r="AC42" s="41">
        <v>2268</v>
      </c>
      <c r="AE42" s="43" t="s">
        <v>33</v>
      </c>
      <c r="AF42" s="41">
        <v>5982</v>
      </c>
      <c r="AG42" s="118">
        <v>9666</v>
      </c>
      <c r="AH42" s="41">
        <v>26112</v>
      </c>
      <c r="AJ42" s="43" t="s">
        <v>33</v>
      </c>
      <c r="AK42" s="41">
        <v>316</v>
      </c>
      <c r="AL42" s="118">
        <v>2043</v>
      </c>
      <c r="AM42" s="41">
        <v>4940</v>
      </c>
      <c r="AO42" s="43" t="s">
        <v>33</v>
      </c>
      <c r="AP42" s="41">
        <v>529</v>
      </c>
      <c r="AQ42" s="118">
        <v>4834</v>
      </c>
      <c r="AR42" s="41">
        <v>12819</v>
      </c>
      <c r="AT42" s="43" t="s">
        <v>33</v>
      </c>
      <c r="AU42" s="41">
        <v>691</v>
      </c>
      <c r="AV42" s="118">
        <v>2322</v>
      </c>
      <c r="AW42" s="41">
        <v>5459</v>
      </c>
      <c r="AY42" s="43" t="s">
        <v>33</v>
      </c>
      <c r="AZ42" s="41">
        <v>327</v>
      </c>
      <c r="BA42" s="118">
        <v>5279</v>
      </c>
      <c r="BB42" s="41">
        <v>14364</v>
      </c>
      <c r="BD42" s="43" t="s">
        <v>33</v>
      </c>
      <c r="BE42" s="41">
        <v>1292</v>
      </c>
      <c r="BF42" s="118">
        <v>925</v>
      </c>
      <c r="BG42" s="41">
        <v>1391</v>
      </c>
      <c r="BI42" s="43" t="s">
        <v>33</v>
      </c>
      <c r="BJ42" s="41">
        <v>10368</v>
      </c>
      <c r="BK42" s="118">
        <v>6284</v>
      </c>
      <c r="BL42" s="41">
        <v>11349</v>
      </c>
      <c r="BN42" s="43" t="s">
        <v>33</v>
      </c>
      <c r="BO42" s="41">
        <v>2720</v>
      </c>
      <c r="BP42" s="118">
        <v>931</v>
      </c>
      <c r="BQ42" s="41">
        <v>1619</v>
      </c>
      <c r="BS42" s="43" t="s">
        <v>33</v>
      </c>
      <c r="BT42" s="41">
        <v>568</v>
      </c>
      <c r="BU42" s="118">
        <v>408</v>
      </c>
      <c r="BV42" s="41">
        <v>713</v>
      </c>
      <c r="BX42" s="43" t="s">
        <v>33</v>
      </c>
      <c r="BY42" s="41">
        <v>40181</v>
      </c>
      <c r="BZ42" s="118">
        <v>27114</v>
      </c>
      <c r="CA42" s="41">
        <v>70616</v>
      </c>
      <c r="CB42" s="30"/>
      <c r="CC42" s="43" t="s">
        <v>33</v>
      </c>
      <c r="CD42" s="41">
        <v>917</v>
      </c>
      <c r="CE42" s="118">
        <v>2424</v>
      </c>
      <c r="CF42" s="41">
        <v>8026</v>
      </c>
      <c r="CG42" s="30"/>
      <c r="CH42" s="43" t="s">
        <v>33</v>
      </c>
      <c r="CI42" s="41">
        <v>74</v>
      </c>
      <c r="CJ42" s="118">
        <v>40</v>
      </c>
      <c r="CK42" s="41">
        <v>71</v>
      </c>
      <c r="CL42" s="30"/>
      <c r="CM42" s="43" t="s">
        <v>33</v>
      </c>
      <c r="CN42" s="41">
        <v>42</v>
      </c>
      <c r="CO42" s="118">
        <v>29</v>
      </c>
      <c r="CP42" s="41">
        <v>50</v>
      </c>
      <c r="CR42" s="43" t="s">
        <v>33</v>
      </c>
      <c r="CS42" s="41">
        <v>119</v>
      </c>
      <c r="CT42" s="118">
        <v>67</v>
      </c>
      <c r="CU42" s="41">
        <v>80</v>
      </c>
      <c r="CW42" s="43" t="s">
        <v>33</v>
      </c>
      <c r="CX42" s="41">
        <v>84</v>
      </c>
      <c r="CY42" s="118">
        <v>92</v>
      </c>
      <c r="CZ42" s="41">
        <v>89</v>
      </c>
      <c r="DB42" s="43" t="s">
        <v>33</v>
      </c>
      <c r="DC42" s="41">
        <v>1693</v>
      </c>
      <c r="DD42" s="118">
        <v>1499</v>
      </c>
      <c r="DE42" s="41">
        <v>2933</v>
      </c>
      <c r="DG42" s="43" t="s">
        <v>33</v>
      </c>
      <c r="DH42" s="41">
        <v>416</v>
      </c>
      <c r="DI42" s="118">
        <v>1547</v>
      </c>
      <c r="DJ42" s="41">
        <v>4770</v>
      </c>
      <c r="DL42" s="43" t="s">
        <v>33</v>
      </c>
      <c r="DM42" s="41">
        <v>67</v>
      </c>
      <c r="DN42" s="118">
        <v>50</v>
      </c>
      <c r="DO42" s="41">
        <v>104</v>
      </c>
      <c r="DQ42" s="43" t="s">
        <v>33</v>
      </c>
      <c r="DR42" s="41">
        <v>21830</v>
      </c>
      <c r="DS42" s="118">
        <v>15563</v>
      </c>
      <c r="DT42" s="41">
        <v>27025</v>
      </c>
      <c r="DV42" s="43" t="s">
        <v>33</v>
      </c>
      <c r="DW42" s="41">
        <v>51047</v>
      </c>
      <c r="DX42" s="118">
        <v>35210</v>
      </c>
      <c r="DY42" s="41">
        <v>55279</v>
      </c>
      <c r="EA42" s="43" t="s">
        <v>33</v>
      </c>
      <c r="EB42" s="41">
        <v>5089</v>
      </c>
      <c r="EC42" s="118">
        <v>4902</v>
      </c>
      <c r="ED42" s="41">
        <v>11098</v>
      </c>
      <c r="EF42" s="43" t="s">
        <v>33</v>
      </c>
      <c r="EG42" s="41">
        <v>14444</v>
      </c>
      <c r="EH42" s="118">
        <v>5602</v>
      </c>
      <c r="EI42" s="41">
        <v>12300</v>
      </c>
      <c r="EK42" s="43" t="s">
        <v>33</v>
      </c>
      <c r="EL42" s="41">
        <v>1881</v>
      </c>
      <c r="EM42" s="118">
        <v>2478</v>
      </c>
      <c r="EN42" s="41">
        <v>11228</v>
      </c>
      <c r="EP42" s="43" t="s">
        <v>33</v>
      </c>
      <c r="EQ42" s="41">
        <v>4820</v>
      </c>
      <c r="ER42" s="118">
        <v>5439</v>
      </c>
      <c r="ES42" s="41">
        <v>10910</v>
      </c>
      <c r="EU42" s="43" t="s">
        <v>33</v>
      </c>
      <c r="EV42" s="41">
        <v>5023</v>
      </c>
      <c r="EW42" s="118">
        <v>5297</v>
      </c>
      <c r="EX42" s="41">
        <v>13218</v>
      </c>
      <c r="EZ42" s="43" t="s">
        <v>33</v>
      </c>
      <c r="FA42" s="41">
        <v>1601</v>
      </c>
      <c r="FB42" s="118">
        <v>2411</v>
      </c>
      <c r="FC42" s="41">
        <v>7597</v>
      </c>
      <c r="FE42" s="43" t="s">
        <v>33</v>
      </c>
      <c r="FF42" s="41">
        <v>973</v>
      </c>
      <c r="FG42" s="118">
        <v>335</v>
      </c>
      <c r="FH42" s="41">
        <v>1318</v>
      </c>
      <c r="FJ42" s="43" t="s">
        <v>33</v>
      </c>
      <c r="FK42" s="41">
        <v>54</v>
      </c>
      <c r="FL42" s="118">
        <v>39</v>
      </c>
      <c r="FM42" s="41">
        <v>244</v>
      </c>
    </row>
    <row r="43" spans="1:169" ht="15">
      <c r="A43" s="43" t="s">
        <v>34</v>
      </c>
      <c r="B43" s="117">
        <v>189858</v>
      </c>
      <c r="C43" s="118">
        <v>141682</v>
      </c>
      <c r="D43" s="119">
        <v>246594</v>
      </c>
      <c r="F43" s="43" t="s">
        <v>34</v>
      </c>
      <c r="G43" s="41">
        <v>486766</v>
      </c>
      <c r="H43" s="118">
        <v>412798</v>
      </c>
      <c r="I43" s="41">
        <v>760604</v>
      </c>
      <c r="K43" s="43" t="s">
        <v>34</v>
      </c>
      <c r="L43" s="41">
        <v>334835</v>
      </c>
      <c r="M43" s="118">
        <v>215981</v>
      </c>
      <c r="N43" s="41">
        <v>333497</v>
      </c>
      <c r="P43" s="43" t="s">
        <v>34</v>
      </c>
      <c r="Q43" s="41">
        <v>12051</v>
      </c>
      <c r="R43" s="118">
        <v>11636</v>
      </c>
      <c r="S43" s="41">
        <v>23874</v>
      </c>
      <c r="T43" s="6"/>
      <c r="U43" s="43" t="s">
        <v>34</v>
      </c>
      <c r="V43" s="41">
        <v>1538.6</v>
      </c>
      <c r="W43" s="118">
        <v>1181.5999999999999</v>
      </c>
      <c r="X43" s="41">
        <v>2183.2999999999997</v>
      </c>
      <c r="Z43" s="43" t="s">
        <v>34</v>
      </c>
      <c r="AA43" s="41">
        <v>2198</v>
      </c>
      <c r="AB43" s="118">
        <v>1688</v>
      </c>
      <c r="AC43" s="41">
        <v>3119</v>
      </c>
      <c r="AE43" s="43" t="s">
        <v>34</v>
      </c>
      <c r="AF43" s="41">
        <v>7282</v>
      </c>
      <c r="AG43" s="118">
        <v>12396</v>
      </c>
      <c r="AH43" s="41">
        <v>27019</v>
      </c>
      <c r="AJ43" s="43" t="s">
        <v>34</v>
      </c>
      <c r="AK43" s="41">
        <v>799</v>
      </c>
      <c r="AL43" s="118">
        <v>2639</v>
      </c>
      <c r="AM43" s="41">
        <v>5712</v>
      </c>
      <c r="AO43" s="43" t="s">
        <v>34</v>
      </c>
      <c r="AP43" s="41">
        <v>1309</v>
      </c>
      <c r="AQ43" s="118">
        <v>6360</v>
      </c>
      <c r="AR43" s="41">
        <v>14287</v>
      </c>
      <c r="AT43" s="43" t="s">
        <v>34</v>
      </c>
      <c r="AU43" s="41">
        <v>1372</v>
      </c>
      <c r="AV43" s="118">
        <v>3132</v>
      </c>
      <c r="AW43" s="41">
        <v>6557</v>
      </c>
      <c r="AY43" s="43" t="s">
        <v>34</v>
      </c>
      <c r="AZ43" s="41">
        <v>1051</v>
      </c>
      <c r="BA43" s="118">
        <v>7069</v>
      </c>
      <c r="BB43" s="41">
        <v>15923</v>
      </c>
      <c r="BD43" s="43" t="s">
        <v>34</v>
      </c>
      <c r="BE43" s="41">
        <v>2019</v>
      </c>
      <c r="BF43" s="118">
        <v>1338</v>
      </c>
      <c r="BG43" s="41">
        <v>1647</v>
      </c>
      <c r="BI43" s="43" t="s">
        <v>34</v>
      </c>
      <c r="BJ43" s="41">
        <v>9998</v>
      </c>
      <c r="BK43" s="118">
        <v>7175</v>
      </c>
      <c r="BL43" s="41">
        <v>12892</v>
      </c>
      <c r="BN43" s="43" t="s">
        <v>34</v>
      </c>
      <c r="BO43" s="41">
        <v>467</v>
      </c>
      <c r="BP43" s="118">
        <v>159</v>
      </c>
      <c r="BQ43" s="41">
        <v>303</v>
      </c>
      <c r="BS43" s="43" t="s">
        <v>34</v>
      </c>
      <c r="BT43" s="41">
        <v>573</v>
      </c>
      <c r="BU43" s="118">
        <v>450</v>
      </c>
      <c r="BV43" s="41">
        <v>741</v>
      </c>
      <c r="BX43" s="43" t="s">
        <v>34</v>
      </c>
      <c r="BY43" s="41">
        <v>26511</v>
      </c>
      <c r="BZ43" s="118">
        <v>30198</v>
      </c>
      <c r="CA43" s="41">
        <v>76489</v>
      </c>
      <c r="CB43" s="30"/>
      <c r="CC43" s="43" t="s">
        <v>34</v>
      </c>
      <c r="CD43" s="41">
        <v>960</v>
      </c>
      <c r="CE43" s="118">
        <v>2653</v>
      </c>
      <c r="CF43" s="41">
        <v>8676</v>
      </c>
      <c r="CG43" s="30"/>
      <c r="CH43" s="43" t="s">
        <v>34</v>
      </c>
      <c r="CI43" s="41">
        <v>94</v>
      </c>
      <c r="CJ43" s="118">
        <v>45</v>
      </c>
      <c r="CK43" s="41">
        <v>78</v>
      </c>
      <c r="CL43" s="30"/>
      <c r="CM43" s="43" t="s">
        <v>34</v>
      </c>
      <c r="CN43" s="41">
        <v>40</v>
      </c>
      <c r="CO43" s="118">
        <v>30</v>
      </c>
      <c r="CP43" s="41">
        <v>54</v>
      </c>
      <c r="CR43" s="43" t="s">
        <v>34</v>
      </c>
      <c r="CS43" s="41">
        <v>114</v>
      </c>
      <c r="CT43" s="118">
        <v>55</v>
      </c>
      <c r="CU43" s="41">
        <v>81</v>
      </c>
      <c r="CW43" s="43" t="s">
        <v>34</v>
      </c>
      <c r="CX43" s="41">
        <v>88</v>
      </c>
      <c r="CY43" s="118">
        <v>88</v>
      </c>
      <c r="CZ43" s="41">
        <v>94</v>
      </c>
      <c r="DB43" s="43" t="s">
        <v>34</v>
      </c>
      <c r="DC43" s="41">
        <v>2393</v>
      </c>
      <c r="DD43" s="118">
        <v>1749</v>
      </c>
      <c r="DE43" s="41">
        <v>3035</v>
      </c>
      <c r="DG43" s="43" t="s">
        <v>34</v>
      </c>
      <c r="DH43" s="41">
        <v>781</v>
      </c>
      <c r="DI43" s="118">
        <v>2114</v>
      </c>
      <c r="DJ43" s="41">
        <v>5378</v>
      </c>
      <c r="DL43" s="43" t="s">
        <v>34</v>
      </c>
      <c r="DM43" s="41">
        <v>60</v>
      </c>
      <c r="DN43" s="118">
        <v>52</v>
      </c>
      <c r="DO43" s="41">
        <v>104</v>
      </c>
      <c r="DQ43" s="43" t="s">
        <v>34</v>
      </c>
      <c r="DR43" s="41">
        <v>13441</v>
      </c>
      <c r="DS43" s="118">
        <v>12362</v>
      </c>
      <c r="DT43" s="41">
        <v>22135</v>
      </c>
      <c r="DV43" s="43" t="s">
        <v>34</v>
      </c>
      <c r="DW43" s="41">
        <v>36136</v>
      </c>
      <c r="DX43" s="118">
        <v>28784</v>
      </c>
      <c r="DY43" s="41">
        <v>48432</v>
      </c>
      <c r="EA43" s="43" t="s">
        <v>34</v>
      </c>
      <c r="EB43" s="41">
        <v>5317</v>
      </c>
      <c r="EC43" s="118">
        <v>6127</v>
      </c>
      <c r="ED43" s="41">
        <v>13662</v>
      </c>
      <c r="EF43" s="43" t="s">
        <v>34</v>
      </c>
      <c r="EG43" s="41">
        <v>9893</v>
      </c>
      <c r="EH43" s="118">
        <v>6227</v>
      </c>
      <c r="EI43" s="41">
        <v>13407</v>
      </c>
      <c r="EK43" s="43" t="s">
        <v>34</v>
      </c>
      <c r="EL43" s="41">
        <v>2479</v>
      </c>
      <c r="EM43" s="118">
        <v>3314</v>
      </c>
      <c r="EN43" s="41">
        <v>11993</v>
      </c>
      <c r="EP43" s="43" t="s">
        <v>34</v>
      </c>
      <c r="EQ43" s="41">
        <v>6868</v>
      </c>
      <c r="ER43" s="118">
        <v>6560</v>
      </c>
      <c r="ES43" s="41">
        <v>13305</v>
      </c>
      <c r="EU43" s="43" t="s">
        <v>34</v>
      </c>
      <c r="EV43" s="41">
        <v>5474</v>
      </c>
      <c r="EW43" s="118">
        <v>6240</v>
      </c>
      <c r="EX43" s="41">
        <v>14302</v>
      </c>
      <c r="EZ43" s="43" t="s">
        <v>34</v>
      </c>
      <c r="FA43" s="41">
        <v>3503</v>
      </c>
      <c r="FB43" s="118">
        <v>3147</v>
      </c>
      <c r="FC43" s="41">
        <v>9022</v>
      </c>
      <c r="FE43" s="43" t="s">
        <v>34</v>
      </c>
      <c r="FF43" s="41">
        <v>993</v>
      </c>
      <c r="FG43" s="118">
        <v>431</v>
      </c>
      <c r="FH43" s="41">
        <v>1475</v>
      </c>
      <c r="FJ43" s="43" t="s">
        <v>34</v>
      </c>
      <c r="FK43" s="41">
        <v>77</v>
      </c>
      <c r="FL43" s="118">
        <v>52</v>
      </c>
      <c r="FM43" s="41">
        <v>284</v>
      </c>
    </row>
    <row r="44" spans="1:169" ht="15">
      <c r="A44" s="43" t="s">
        <v>35</v>
      </c>
      <c r="B44" s="117">
        <v>179794</v>
      </c>
      <c r="C44" s="118">
        <v>119982</v>
      </c>
      <c r="D44" s="119">
        <v>223185</v>
      </c>
      <c r="F44" s="43" t="s">
        <v>35</v>
      </c>
      <c r="G44" s="41">
        <v>605990</v>
      </c>
      <c r="H44" s="118">
        <v>403993</v>
      </c>
      <c r="I44" s="41">
        <v>673322</v>
      </c>
      <c r="K44" s="43" t="s">
        <v>35</v>
      </c>
      <c r="L44" s="41">
        <v>325986</v>
      </c>
      <c r="M44" s="118">
        <v>185006</v>
      </c>
      <c r="N44" s="41">
        <v>308250</v>
      </c>
      <c r="P44" s="43" t="s">
        <v>35</v>
      </c>
      <c r="Q44" s="41">
        <v>16129</v>
      </c>
      <c r="R44" s="118">
        <v>12685</v>
      </c>
      <c r="S44" s="41">
        <v>28260</v>
      </c>
      <c r="T44" s="6"/>
      <c r="U44" s="43" t="s">
        <v>35</v>
      </c>
      <c r="V44" s="41">
        <v>3089.1</v>
      </c>
      <c r="W44" s="118">
        <v>1500.8</v>
      </c>
      <c r="X44" s="41">
        <v>2798.6</v>
      </c>
      <c r="Z44" s="43" t="s">
        <v>35</v>
      </c>
      <c r="AA44" s="41">
        <v>4413</v>
      </c>
      <c r="AB44" s="118">
        <v>2144</v>
      </c>
      <c r="AC44" s="41">
        <v>3998</v>
      </c>
      <c r="AE44" s="43" t="s">
        <v>35</v>
      </c>
      <c r="AF44" s="41">
        <v>9340</v>
      </c>
      <c r="AG44" s="118">
        <v>12296</v>
      </c>
      <c r="AH44" s="41">
        <v>28072</v>
      </c>
      <c r="AJ44" s="43" t="s">
        <v>35</v>
      </c>
      <c r="AK44" s="41">
        <v>1464</v>
      </c>
      <c r="AL44" s="118">
        <v>2724</v>
      </c>
      <c r="AM44" s="41">
        <v>5831</v>
      </c>
      <c r="AO44" s="43" t="s">
        <v>35</v>
      </c>
      <c r="AP44" s="41">
        <v>3224</v>
      </c>
      <c r="AQ44" s="118">
        <v>6765</v>
      </c>
      <c r="AR44" s="41">
        <v>15967</v>
      </c>
      <c r="AT44" s="43" t="s">
        <v>35</v>
      </c>
      <c r="AU44" s="41">
        <v>2510</v>
      </c>
      <c r="AV44" s="118">
        <v>3433</v>
      </c>
      <c r="AW44" s="41">
        <v>6982</v>
      </c>
      <c r="AY44" s="43" t="s">
        <v>35</v>
      </c>
      <c r="AZ44" s="41">
        <v>3090</v>
      </c>
      <c r="BA44" s="118">
        <v>7109</v>
      </c>
      <c r="BB44" s="41">
        <v>15249</v>
      </c>
      <c r="BD44" s="43" t="s">
        <v>35</v>
      </c>
      <c r="BE44" s="41">
        <v>3021</v>
      </c>
      <c r="BF44" s="118">
        <v>1743</v>
      </c>
      <c r="BG44" s="41">
        <v>2127</v>
      </c>
      <c r="BI44" s="43" t="s">
        <v>35</v>
      </c>
      <c r="BJ44" s="41">
        <v>12278</v>
      </c>
      <c r="BK44" s="118">
        <v>7351</v>
      </c>
      <c r="BL44" s="41">
        <v>13865</v>
      </c>
      <c r="BN44" s="43" t="s">
        <v>35</v>
      </c>
      <c r="BO44" s="41">
        <v>502</v>
      </c>
      <c r="BP44" s="118">
        <v>164</v>
      </c>
      <c r="BQ44" s="41">
        <v>258</v>
      </c>
      <c r="BS44" s="43" t="s">
        <v>35</v>
      </c>
      <c r="BT44" s="41">
        <v>630</v>
      </c>
      <c r="BU44" s="118">
        <v>461</v>
      </c>
      <c r="BV44" s="41">
        <v>874</v>
      </c>
      <c r="BX44" s="43" t="s">
        <v>35</v>
      </c>
      <c r="BY44" s="41">
        <v>32442</v>
      </c>
      <c r="BZ44" s="118">
        <v>29149</v>
      </c>
      <c r="CA44" s="41">
        <v>77499</v>
      </c>
      <c r="CB44" s="30"/>
      <c r="CC44" s="43" t="s">
        <v>35</v>
      </c>
      <c r="CD44" s="41">
        <v>1441</v>
      </c>
      <c r="CE44" s="118">
        <v>2726</v>
      </c>
      <c r="CF44" s="41">
        <v>8596</v>
      </c>
      <c r="CG44" s="30"/>
      <c r="CH44" s="43" t="s">
        <v>35</v>
      </c>
      <c r="CI44" s="41">
        <v>82</v>
      </c>
      <c r="CJ44" s="118">
        <v>43</v>
      </c>
      <c r="CK44" s="41">
        <v>77</v>
      </c>
      <c r="CL44" s="30"/>
      <c r="CM44" s="43" t="s">
        <v>35</v>
      </c>
      <c r="CN44" s="41">
        <v>40</v>
      </c>
      <c r="CO44" s="118">
        <v>28</v>
      </c>
      <c r="CP44" s="41">
        <v>53</v>
      </c>
      <c r="CR44" s="43" t="s">
        <v>35</v>
      </c>
      <c r="CS44" s="41">
        <v>117</v>
      </c>
      <c r="CT44" s="118">
        <v>45</v>
      </c>
      <c r="CU44" s="41">
        <v>84</v>
      </c>
      <c r="CW44" s="43" t="s">
        <v>35</v>
      </c>
      <c r="CX44" s="41">
        <v>86</v>
      </c>
      <c r="CY44" s="118">
        <v>84</v>
      </c>
      <c r="CZ44" s="41">
        <v>96</v>
      </c>
      <c r="DB44" s="43" t="s">
        <v>35</v>
      </c>
      <c r="DC44" s="41">
        <v>2120</v>
      </c>
      <c r="DD44" s="118">
        <v>1612</v>
      </c>
      <c r="DE44" s="41">
        <v>3339</v>
      </c>
      <c r="DG44" s="43" t="s">
        <v>35</v>
      </c>
      <c r="DH44" s="41">
        <v>1410</v>
      </c>
      <c r="DI44" s="118">
        <v>2067</v>
      </c>
      <c r="DJ44" s="41">
        <v>5379</v>
      </c>
      <c r="DL44" s="43" t="s">
        <v>35</v>
      </c>
      <c r="DM44" s="41">
        <v>65</v>
      </c>
      <c r="DN44" s="118">
        <v>53</v>
      </c>
      <c r="DO44" s="41">
        <v>117</v>
      </c>
      <c r="DQ44" s="43" t="s">
        <v>35</v>
      </c>
      <c r="DR44" s="41">
        <v>13797</v>
      </c>
      <c r="DS44" s="118">
        <v>10784</v>
      </c>
      <c r="DT44" s="41">
        <v>20599</v>
      </c>
      <c r="DV44" s="43" t="s">
        <v>35</v>
      </c>
      <c r="DW44" s="41">
        <v>31081</v>
      </c>
      <c r="DX44" s="118">
        <v>22515</v>
      </c>
      <c r="DY44" s="41">
        <v>39957</v>
      </c>
      <c r="EA44" s="43" t="s">
        <v>35</v>
      </c>
      <c r="EB44" s="41">
        <v>7463</v>
      </c>
      <c r="EC44" s="118">
        <v>6285</v>
      </c>
      <c r="ED44" s="41">
        <v>15171</v>
      </c>
      <c r="EF44" s="43" t="s">
        <v>35</v>
      </c>
      <c r="EG44" s="41">
        <v>10862</v>
      </c>
      <c r="EH44" s="118">
        <v>5944</v>
      </c>
      <c r="EI44" s="41">
        <v>13629</v>
      </c>
      <c r="EK44" s="43" t="s">
        <v>35</v>
      </c>
      <c r="EL44" s="41">
        <v>3467</v>
      </c>
      <c r="EM44" s="118">
        <v>3358</v>
      </c>
      <c r="EN44" s="41">
        <v>12300</v>
      </c>
      <c r="EP44" s="43" t="s">
        <v>35</v>
      </c>
      <c r="EQ44" s="41">
        <v>9111</v>
      </c>
      <c r="ER44" s="118">
        <v>6473</v>
      </c>
      <c r="ES44" s="41">
        <v>14024</v>
      </c>
      <c r="EU44" s="43" t="s">
        <v>35</v>
      </c>
      <c r="EV44" s="41">
        <v>6132</v>
      </c>
      <c r="EW44" s="118">
        <v>5871</v>
      </c>
      <c r="EX44" s="41">
        <v>14090</v>
      </c>
      <c r="EZ44" s="43" t="s">
        <v>35</v>
      </c>
      <c r="FA44" s="41">
        <v>5478</v>
      </c>
      <c r="FB44" s="118">
        <v>3232</v>
      </c>
      <c r="FC44" s="41">
        <v>9652</v>
      </c>
      <c r="FE44" s="43" t="s">
        <v>35</v>
      </c>
      <c r="FF44" s="41">
        <v>1080</v>
      </c>
      <c r="FG44" s="118">
        <v>493</v>
      </c>
      <c r="FH44" s="41">
        <v>1876</v>
      </c>
      <c r="FJ44" s="43" t="s">
        <v>35</v>
      </c>
      <c r="FK44" s="41">
        <v>71</v>
      </c>
      <c r="FL44" s="118">
        <v>56</v>
      </c>
      <c r="FM44" s="41">
        <v>381</v>
      </c>
    </row>
    <row r="45" spans="1:169" ht="15">
      <c r="A45" s="43" t="s">
        <v>36</v>
      </c>
      <c r="B45" s="117">
        <v>154411</v>
      </c>
      <c r="C45" s="118">
        <v>113496</v>
      </c>
      <c r="D45" s="119">
        <v>217166</v>
      </c>
      <c r="F45" s="43" t="s">
        <v>36</v>
      </c>
      <c r="G45" s="41">
        <v>605990</v>
      </c>
      <c r="H45" s="118">
        <v>403993</v>
      </c>
      <c r="I45" s="41">
        <v>673322</v>
      </c>
      <c r="K45" s="43" t="s">
        <v>36</v>
      </c>
      <c r="L45" s="41">
        <v>288632</v>
      </c>
      <c r="M45" s="118">
        <v>178344</v>
      </c>
      <c r="N45" s="41">
        <v>315622</v>
      </c>
      <c r="P45" s="43" t="s">
        <v>36</v>
      </c>
      <c r="Q45" s="41">
        <v>15993</v>
      </c>
      <c r="R45" s="118">
        <v>13484</v>
      </c>
      <c r="S45" s="41">
        <v>29918</v>
      </c>
      <c r="T45" s="6"/>
      <c r="U45" s="43" t="s">
        <v>36</v>
      </c>
      <c r="V45" s="41">
        <v>1430.1</v>
      </c>
      <c r="W45" s="118">
        <v>912.09999999999991</v>
      </c>
      <c r="X45" s="41">
        <v>1871.1</v>
      </c>
      <c r="Z45" s="43" t="s">
        <v>36</v>
      </c>
      <c r="AA45" s="41">
        <v>2043</v>
      </c>
      <c r="AB45" s="118">
        <v>1303</v>
      </c>
      <c r="AC45" s="41">
        <v>2673</v>
      </c>
      <c r="AE45" s="43" t="s">
        <v>36</v>
      </c>
      <c r="AF45" s="41">
        <v>13788</v>
      </c>
      <c r="AG45" s="118">
        <v>9269</v>
      </c>
      <c r="AH45" s="41">
        <v>14099</v>
      </c>
      <c r="AJ45" s="43" t="s">
        <v>36</v>
      </c>
      <c r="AK45" s="41">
        <v>1448</v>
      </c>
      <c r="AL45" s="118">
        <v>2863</v>
      </c>
      <c r="AM45" s="41">
        <v>6328</v>
      </c>
      <c r="AO45" s="43" t="s">
        <v>36</v>
      </c>
      <c r="AP45" s="41">
        <v>3186</v>
      </c>
      <c r="AQ45" s="118">
        <v>7491</v>
      </c>
      <c r="AR45" s="41">
        <v>16614</v>
      </c>
      <c r="AT45" s="43" t="s">
        <v>36</v>
      </c>
      <c r="AU45" s="41">
        <v>2735</v>
      </c>
      <c r="AV45" s="118">
        <v>3827</v>
      </c>
      <c r="AW45" s="41">
        <v>7962</v>
      </c>
      <c r="AY45" s="43" t="s">
        <v>36</v>
      </c>
      <c r="AZ45" s="41">
        <v>3148</v>
      </c>
      <c r="BA45" s="118">
        <v>7679</v>
      </c>
      <c r="BB45" s="41">
        <v>16942</v>
      </c>
      <c r="BD45" s="43" t="s">
        <v>36</v>
      </c>
      <c r="BE45" s="41">
        <v>3485</v>
      </c>
      <c r="BF45" s="118">
        <v>2236</v>
      </c>
      <c r="BG45" s="41">
        <v>3058</v>
      </c>
      <c r="BI45" s="43" t="s">
        <v>36</v>
      </c>
      <c r="BJ45" s="41">
        <v>10639</v>
      </c>
      <c r="BK45" s="118">
        <v>6495</v>
      </c>
      <c r="BL45" s="41">
        <v>12244</v>
      </c>
      <c r="BN45" s="43" t="s">
        <v>36</v>
      </c>
      <c r="BO45" s="41">
        <v>345</v>
      </c>
      <c r="BP45" s="118">
        <v>114</v>
      </c>
      <c r="BQ45" s="41">
        <v>220</v>
      </c>
      <c r="BS45" s="43" t="s">
        <v>36</v>
      </c>
      <c r="BT45" s="41">
        <v>726</v>
      </c>
      <c r="BU45" s="118">
        <v>481</v>
      </c>
      <c r="BV45" s="41">
        <v>1130</v>
      </c>
      <c r="BX45" s="43" t="s">
        <v>36</v>
      </c>
      <c r="BY45" s="41">
        <v>37731</v>
      </c>
      <c r="BZ45" s="118">
        <v>37672</v>
      </c>
      <c r="CA45" s="41">
        <v>91536</v>
      </c>
      <c r="CB45" s="30"/>
      <c r="CC45" s="43" t="s">
        <v>36</v>
      </c>
      <c r="CD45" s="41">
        <v>1514</v>
      </c>
      <c r="CE45" s="118">
        <v>2955</v>
      </c>
      <c r="CF45" s="41">
        <v>9228</v>
      </c>
      <c r="CG45" s="30"/>
      <c r="CH45" s="43" t="s">
        <v>36</v>
      </c>
      <c r="CI45" s="41">
        <v>73</v>
      </c>
      <c r="CJ45" s="118">
        <v>45</v>
      </c>
      <c r="CK45" s="41">
        <v>84</v>
      </c>
      <c r="CL45" s="30"/>
      <c r="CM45" s="43" t="s">
        <v>36</v>
      </c>
      <c r="CN45" s="41">
        <v>39</v>
      </c>
      <c r="CO45" s="118">
        <v>30</v>
      </c>
      <c r="CP45" s="41">
        <v>57</v>
      </c>
      <c r="CR45" s="43" t="s">
        <v>36</v>
      </c>
      <c r="CS45" s="41">
        <v>129</v>
      </c>
      <c r="CT45" s="118">
        <v>78</v>
      </c>
      <c r="CU45" s="41">
        <v>83</v>
      </c>
      <c r="CW45" s="43" t="s">
        <v>36</v>
      </c>
      <c r="CX45" s="41">
        <v>80</v>
      </c>
      <c r="CY45" s="118">
        <v>80</v>
      </c>
      <c r="CZ45" s="41">
        <v>92</v>
      </c>
      <c r="DB45" s="43" t="s">
        <v>36</v>
      </c>
      <c r="DC45" s="41">
        <v>2284</v>
      </c>
      <c r="DD45" s="118">
        <v>1622</v>
      </c>
      <c r="DE45" s="41">
        <v>2943</v>
      </c>
      <c r="DG45" s="43" t="s">
        <v>36</v>
      </c>
      <c r="DH45" s="41">
        <v>1422</v>
      </c>
      <c r="DI45" s="118">
        <v>2250</v>
      </c>
      <c r="DJ45" s="41">
        <v>5599</v>
      </c>
      <c r="DL45" s="43" t="s">
        <v>36</v>
      </c>
      <c r="DM45" s="41">
        <v>95</v>
      </c>
      <c r="DN45" s="118">
        <v>77</v>
      </c>
      <c r="DO45" s="41">
        <v>149</v>
      </c>
      <c r="DQ45" s="43" t="s">
        <v>36</v>
      </c>
      <c r="DR45" s="41">
        <v>11898</v>
      </c>
      <c r="DS45" s="118">
        <v>10822</v>
      </c>
      <c r="DT45" s="41">
        <v>21330</v>
      </c>
      <c r="DV45" s="43" t="s">
        <v>36</v>
      </c>
      <c r="DW45" s="41">
        <v>24353</v>
      </c>
      <c r="DX45" s="118">
        <v>20254</v>
      </c>
      <c r="DY45" s="41">
        <v>35396</v>
      </c>
      <c r="EA45" s="43" t="s">
        <v>36</v>
      </c>
      <c r="EB45" s="41">
        <v>7277</v>
      </c>
      <c r="EC45" s="118">
        <v>7089</v>
      </c>
      <c r="ED45" s="41">
        <v>16351</v>
      </c>
      <c r="EF45" s="43" t="s">
        <v>36</v>
      </c>
      <c r="EG45" s="41">
        <v>10123</v>
      </c>
      <c r="EH45" s="118">
        <v>6089</v>
      </c>
      <c r="EI45" s="41">
        <v>14098</v>
      </c>
      <c r="EK45" s="43" t="s">
        <v>36</v>
      </c>
      <c r="EL45" s="41">
        <v>3344</v>
      </c>
      <c r="EM45" s="118">
        <v>3647</v>
      </c>
      <c r="EN45" s="41">
        <v>12535</v>
      </c>
      <c r="EP45" s="43" t="s">
        <v>36</v>
      </c>
      <c r="EQ45" s="41">
        <v>8835</v>
      </c>
      <c r="ER45" s="118">
        <v>6958</v>
      </c>
      <c r="ES45" s="41">
        <v>15126</v>
      </c>
      <c r="EU45" s="43" t="s">
        <v>36</v>
      </c>
      <c r="EV45" s="41">
        <v>6037</v>
      </c>
      <c r="EW45" s="118">
        <v>6480</v>
      </c>
      <c r="EX45" s="41">
        <v>15340</v>
      </c>
      <c r="EZ45" s="43" t="s">
        <v>36</v>
      </c>
      <c r="FA45" s="41">
        <v>5026</v>
      </c>
      <c r="FB45" s="118">
        <v>3452</v>
      </c>
      <c r="FC45" s="41">
        <v>9794</v>
      </c>
      <c r="FE45" s="43" t="s">
        <v>36</v>
      </c>
      <c r="FF45" s="41">
        <v>1096</v>
      </c>
      <c r="FG45" s="118">
        <v>577</v>
      </c>
      <c r="FH45" s="41">
        <v>2317</v>
      </c>
      <c r="FJ45" s="43" t="s">
        <v>36</v>
      </c>
      <c r="FK45" s="41">
        <v>67</v>
      </c>
      <c r="FL45" s="118">
        <v>60</v>
      </c>
      <c r="FM45" s="41">
        <v>348</v>
      </c>
    </row>
    <row r="46" spans="1:169" ht="15">
      <c r="A46" s="147" t="s">
        <v>52</v>
      </c>
      <c r="B46" s="42">
        <f>SUM(B34:B45)</f>
        <v>2266802</v>
      </c>
      <c r="C46" s="42">
        <f>SUM(C34:C45)</f>
        <v>1545825</v>
      </c>
      <c r="D46" s="42">
        <f>SUM(D34:D45)</f>
        <v>2732030</v>
      </c>
      <c r="F46" s="62" t="str">
        <f>A46</f>
        <v>Totale</v>
      </c>
      <c r="G46" s="42">
        <f>SUM(G34:G45)</f>
        <v>7523752</v>
      </c>
      <c r="H46" s="42">
        <f t="shared" ref="H46:I46" si="0">SUM(H34:H45)</f>
        <v>5271590</v>
      </c>
      <c r="I46" s="42">
        <f t="shared" si="0"/>
        <v>9263653</v>
      </c>
      <c r="K46" s="62" t="str">
        <f>F46</f>
        <v>Totale</v>
      </c>
      <c r="L46" s="42">
        <f>SUM(L34:L45)</f>
        <v>4422459</v>
      </c>
      <c r="M46" s="42">
        <f>SUM(M34:M45)</f>
        <v>2562411</v>
      </c>
      <c r="N46" s="42">
        <f>SUM(N34:N45)</f>
        <v>4121871</v>
      </c>
      <c r="P46" s="62" t="str">
        <f>K46</f>
        <v>Totale</v>
      </c>
      <c r="Q46" s="42">
        <f>SUM(Q34:Q45)</f>
        <v>109348</v>
      </c>
      <c r="R46" s="42">
        <f>SUM(R34:R45)</f>
        <v>91710</v>
      </c>
      <c r="S46" s="42">
        <f>SUM(S34:S45)</f>
        <v>198168</v>
      </c>
      <c r="T46" s="112"/>
      <c r="U46" s="62" t="str">
        <f>P46</f>
        <v>Totale</v>
      </c>
      <c r="V46" s="42">
        <f>SUM(V34:V45)</f>
        <v>24339.699999999997</v>
      </c>
      <c r="W46" s="42">
        <f>SUM(W34:W45)</f>
        <v>14002.1</v>
      </c>
      <c r="X46" s="42">
        <f>SUM(X34:X45)</f>
        <v>30913.399999999991</v>
      </c>
      <c r="Z46" s="62" t="str">
        <f>P46</f>
        <v>Totale</v>
      </c>
      <c r="AA46" s="42">
        <f>SUM(AA34:AA45)</f>
        <v>34771</v>
      </c>
      <c r="AB46" s="42">
        <f>SUM(AB34:AB45)</f>
        <v>20003</v>
      </c>
      <c r="AC46" s="42">
        <f>SUM(AC34:AC45)</f>
        <v>44162</v>
      </c>
      <c r="AE46" s="62" t="str">
        <f>Z46</f>
        <v>Totale</v>
      </c>
      <c r="AF46" s="42">
        <f>SUM(AF34:AF45)</f>
        <v>102072</v>
      </c>
      <c r="AG46" s="42">
        <f>SUM(AG34:AG45)</f>
        <v>124487</v>
      </c>
      <c r="AH46" s="42">
        <f>SUM(AH34:AH45)</f>
        <v>309599</v>
      </c>
      <c r="AJ46" s="62" t="str">
        <f>AE46</f>
        <v>Totale</v>
      </c>
      <c r="AK46" s="42">
        <f>SUM(AK34:AK45)</f>
        <v>7649</v>
      </c>
      <c r="AL46" s="42">
        <f>SUM(AL34:AL45)</f>
        <v>25077</v>
      </c>
      <c r="AM46" s="42">
        <f>SUM(AM34:AM45)</f>
        <v>63483</v>
      </c>
      <c r="AO46" s="62" t="str">
        <f>AJ46</f>
        <v>Totale</v>
      </c>
      <c r="AP46" s="42">
        <f>SUM(AP34:AP45)</f>
        <v>16550</v>
      </c>
      <c r="AQ46" s="42">
        <f>SUM(AQ34:AQ45)</f>
        <v>60317</v>
      </c>
      <c r="AR46" s="42">
        <f>SUM(AR34:AR45)</f>
        <v>161467</v>
      </c>
      <c r="AT46" s="62" t="str">
        <f>AO46</f>
        <v>Totale</v>
      </c>
      <c r="AU46" s="42">
        <f>SUM(AU34:AU45)</f>
        <v>16546</v>
      </c>
      <c r="AV46" s="42">
        <f>SUM(AV34:AV45)</f>
        <v>32003</v>
      </c>
      <c r="AW46" s="42">
        <f>SUM(AW34:AW45)</f>
        <v>76040</v>
      </c>
      <c r="AY46" s="62" t="str">
        <f>AT46</f>
        <v>Totale</v>
      </c>
      <c r="AZ46" s="42">
        <f>SUM(AZ34:AZ45)</f>
        <v>14234</v>
      </c>
      <c r="BA46" s="42">
        <f>SUM(BA34:BA45)</f>
        <v>65521</v>
      </c>
      <c r="BB46" s="42">
        <f>SUM(BB34:BB45)</f>
        <v>178134</v>
      </c>
      <c r="BD46" s="62" t="str">
        <f>AY46</f>
        <v>Totale</v>
      </c>
      <c r="BE46" s="42">
        <f>SUM(BE34:BE45)</f>
        <v>26724</v>
      </c>
      <c r="BF46" s="42">
        <f>SUM(BF34:BF45)</f>
        <v>17357</v>
      </c>
      <c r="BG46" s="42">
        <f>SUM(BG34:BG45)</f>
        <v>23681</v>
      </c>
      <c r="BI46" s="62" t="s">
        <v>52</v>
      </c>
      <c r="BJ46" s="42">
        <f>SUM(BJ34:BJ45)</f>
        <v>126472</v>
      </c>
      <c r="BK46" s="42">
        <f>SUM(BK34:BK45)</f>
        <v>77709</v>
      </c>
      <c r="BL46" s="42">
        <f>SUM(BL34:BL45)</f>
        <v>148691</v>
      </c>
      <c r="BN46" s="62" t="str">
        <f>BI46</f>
        <v>Totale</v>
      </c>
      <c r="BO46" s="42">
        <f>SUM(BO34:BO45)</f>
        <v>16790</v>
      </c>
      <c r="BP46" s="42">
        <f>SUM(BP34:BP45)</f>
        <v>5497</v>
      </c>
      <c r="BQ46" s="42">
        <f>SUM(BQ34:BQ45)</f>
        <v>9517</v>
      </c>
      <c r="BS46" s="62" t="str">
        <f>BN46</f>
        <v>Totale</v>
      </c>
      <c r="BT46" s="42">
        <f>SUM(BT34:BT45)</f>
        <v>6337</v>
      </c>
      <c r="BU46" s="42">
        <f>SUM(BU34:BU45)</f>
        <v>4679</v>
      </c>
      <c r="BV46" s="42">
        <f>SUM(BV34:BV45)</f>
        <v>8988</v>
      </c>
      <c r="BX46" s="62" t="str">
        <f>BS46</f>
        <v>Totale</v>
      </c>
      <c r="BY46" s="118">
        <f>SUM(BY34:BY45)</f>
        <v>373872</v>
      </c>
      <c r="BZ46" s="118">
        <f>SUM(BZ34:BZ45)</f>
        <v>331268</v>
      </c>
      <c r="CA46" s="118">
        <f>SUM(CA34:CA45)</f>
        <v>897817</v>
      </c>
      <c r="CB46" s="30"/>
      <c r="CC46" s="62" t="str">
        <f>BX46</f>
        <v>Totale</v>
      </c>
      <c r="CD46" s="118">
        <f>SUM(CD34:CD45)</f>
        <v>12438</v>
      </c>
      <c r="CE46" s="118">
        <f>SUM(CE34:CE45)</f>
        <v>30761</v>
      </c>
      <c r="CF46" s="118">
        <f>SUM(CF34:CF45)</f>
        <v>105978</v>
      </c>
      <c r="CG46" s="30"/>
      <c r="CH46" s="62" t="str">
        <f>CC46</f>
        <v>Totale</v>
      </c>
      <c r="CI46" s="118">
        <f>SUM(CI34:CI45)</f>
        <v>1952</v>
      </c>
      <c r="CJ46" s="118">
        <f>SUM(CJ34:CJ45)</f>
        <v>5779</v>
      </c>
      <c r="CK46" s="118">
        <f>SUM(CK34:CK45)</f>
        <v>2711</v>
      </c>
      <c r="CL46" s="30"/>
      <c r="CM46" s="62" t="str">
        <f>CH46</f>
        <v>Totale</v>
      </c>
      <c r="CN46" s="118">
        <f>SUM(CN34:CN45)</f>
        <v>501</v>
      </c>
      <c r="CO46" s="118">
        <f>SUM(CO34:CO45)</f>
        <v>360</v>
      </c>
      <c r="CP46" s="118">
        <f>SUM(CP34:CP45)</f>
        <v>673</v>
      </c>
      <c r="CR46" s="62" t="str">
        <f>CM46</f>
        <v>Totale</v>
      </c>
      <c r="CS46" s="42">
        <f>SUM(CS34:CS45)</f>
        <v>1430</v>
      </c>
      <c r="CT46" s="42">
        <f t="shared" ref="CT46:CU46" si="1">SUM(CT34:CT45)</f>
        <v>827</v>
      </c>
      <c r="CU46" s="42">
        <f t="shared" si="1"/>
        <v>1021</v>
      </c>
      <c r="CW46" s="62" t="str">
        <f>CR46</f>
        <v>Totale</v>
      </c>
      <c r="CX46" s="42">
        <f>SUM(CX34:CX45)</f>
        <v>1041</v>
      </c>
      <c r="CY46" s="42">
        <f t="shared" ref="CY46:CZ46" si="2">SUM(CY34:CY45)</f>
        <v>1053</v>
      </c>
      <c r="CZ46" s="42">
        <f t="shared" si="2"/>
        <v>1090</v>
      </c>
      <c r="DB46" s="62" t="str">
        <f>CW46</f>
        <v>Totale</v>
      </c>
      <c r="DC46" s="42">
        <f>SUM(DC34:DC45)</f>
        <v>24527</v>
      </c>
      <c r="DD46" s="42">
        <f t="shared" ref="DD46:DE46" si="3">SUM(DD34:DD45)</f>
        <v>20007</v>
      </c>
      <c r="DE46" s="42">
        <f t="shared" si="3"/>
        <v>36986</v>
      </c>
      <c r="DG46" s="62" t="str">
        <f>DB46</f>
        <v>Totale</v>
      </c>
      <c r="DH46" s="42">
        <f>SUM(DH34:DH45)</f>
        <v>9372</v>
      </c>
      <c r="DI46" s="42">
        <f t="shared" ref="DI46:DJ46" si="4">SUM(DI34:DI45)</f>
        <v>19719</v>
      </c>
      <c r="DJ46" s="42">
        <f t="shared" si="4"/>
        <v>60549</v>
      </c>
      <c r="DL46" s="62" t="str">
        <f>DG46</f>
        <v>Totale</v>
      </c>
      <c r="DM46" s="42">
        <f>SUM(DM34:DM45)</f>
        <v>1128</v>
      </c>
      <c r="DN46" s="42">
        <f t="shared" ref="DN46:DO46" si="5">SUM(DN34:DN45)</f>
        <v>868</v>
      </c>
      <c r="DO46" s="42">
        <f t="shared" si="5"/>
        <v>1708</v>
      </c>
      <c r="DQ46" s="62" t="str">
        <f>DL46</f>
        <v>Totale</v>
      </c>
      <c r="DR46" s="42">
        <f>SUM(DR34:DR45)</f>
        <v>177923</v>
      </c>
      <c r="DS46" s="42">
        <f t="shared" ref="DS46:DT46" si="6">SUM(DS34:DS45)</f>
        <v>140799</v>
      </c>
      <c r="DT46" s="42">
        <f t="shared" si="6"/>
        <v>274894</v>
      </c>
      <c r="DV46" s="62" t="str">
        <f>DQ46</f>
        <v>Totale</v>
      </c>
      <c r="DW46" s="42">
        <f>SUM(DW34:DW45)</f>
        <v>488007</v>
      </c>
      <c r="DX46" s="42">
        <f t="shared" ref="DX46:DY46" si="7">SUM(DX34:DX45)</f>
        <v>367222</v>
      </c>
      <c r="DY46" s="42">
        <f t="shared" si="7"/>
        <v>623719</v>
      </c>
      <c r="EA46" s="62" t="str">
        <f>DV46</f>
        <v>Totale</v>
      </c>
      <c r="EB46" s="42">
        <f>SUM(EB34:EB45)</f>
        <v>68831</v>
      </c>
      <c r="EC46" s="42">
        <f t="shared" ref="EC46:ED46" si="8">SUM(EC34:EC45)</f>
        <v>64298</v>
      </c>
      <c r="ED46" s="42">
        <f t="shared" si="8"/>
        <v>157848</v>
      </c>
      <c r="EF46" s="62" t="str">
        <f>EA46</f>
        <v>Totale</v>
      </c>
      <c r="EG46" s="42">
        <f>SUM(EG34:EG45)</f>
        <v>131663</v>
      </c>
      <c r="EH46" s="42">
        <f t="shared" ref="EH46:EI46" si="9">SUM(EH34:EH45)</f>
        <v>64982</v>
      </c>
      <c r="EI46" s="42">
        <f t="shared" si="9"/>
        <v>153813</v>
      </c>
      <c r="EK46" s="62" t="str">
        <f>EF46</f>
        <v>Totale</v>
      </c>
      <c r="EL46" s="42">
        <f>SUM(EL34:EL45)</f>
        <v>43338</v>
      </c>
      <c r="EM46" s="42">
        <f t="shared" ref="EM46:EN46" si="10">SUM(EM34:EM45)</f>
        <v>45550</v>
      </c>
      <c r="EN46" s="42">
        <f t="shared" si="10"/>
        <v>155114</v>
      </c>
      <c r="EP46" s="62" t="str">
        <f>EK46</f>
        <v>Totale</v>
      </c>
      <c r="EQ46" s="42">
        <f>SUM(EQ34:EQ45)</f>
        <v>68552</v>
      </c>
      <c r="ER46" s="42">
        <f t="shared" ref="ER46:ES46" si="11">SUM(ER34:ER45)</f>
        <v>56731</v>
      </c>
      <c r="ES46" s="42">
        <f t="shared" si="11"/>
        <v>140428</v>
      </c>
      <c r="EU46" s="62" t="str">
        <f>EP46</f>
        <v>Totale</v>
      </c>
      <c r="EV46" s="42">
        <f>SUM(EV34:EV45)</f>
        <v>52531</v>
      </c>
      <c r="EW46" s="42">
        <f t="shared" ref="EW46:EX46" si="12">SUM(EW34:EW45)</f>
        <v>52150</v>
      </c>
      <c r="EX46" s="42">
        <f t="shared" si="12"/>
        <v>150425</v>
      </c>
      <c r="EZ46" s="62" t="str">
        <f>EU46</f>
        <v>Totale</v>
      </c>
      <c r="FA46" s="42">
        <f>SUM(FA34:FA45)</f>
        <v>53147</v>
      </c>
      <c r="FB46" s="42">
        <f t="shared" ref="FB46:FC46" si="13">SUM(FB34:FB45)</f>
        <v>42274</v>
      </c>
      <c r="FC46" s="42">
        <f t="shared" si="13"/>
        <v>118923</v>
      </c>
      <c r="FE46" s="62" t="str">
        <f>EZ46</f>
        <v>Totale</v>
      </c>
      <c r="FF46" s="42">
        <f>SUM(FF34:FF45)</f>
        <v>11946</v>
      </c>
      <c r="FG46" s="42">
        <f t="shared" ref="FG46:FH46" si="14">SUM(FG34:FG45)</f>
        <v>5049</v>
      </c>
      <c r="FH46" s="42">
        <f t="shared" si="14"/>
        <v>19932</v>
      </c>
      <c r="FJ46" s="62" t="str">
        <f>FE46</f>
        <v>Totale</v>
      </c>
      <c r="FK46" s="42">
        <f>SUM(FK34:FK45)</f>
        <v>755</v>
      </c>
      <c r="FL46" s="42">
        <f t="shared" ref="FL46:FM46" si="15">SUM(FL34:FL45)</f>
        <v>584</v>
      </c>
      <c r="FM46" s="42">
        <f t="shared" si="15"/>
        <v>3254</v>
      </c>
    </row>
    <row r="47" spans="1:169" s="30" customFormat="1" ht="15">
      <c r="B47" s="179"/>
      <c r="C47" s="170"/>
      <c r="D47" s="170"/>
      <c r="G47" s="180"/>
      <c r="H47" s="170"/>
      <c r="I47" s="170"/>
      <c r="L47" s="180"/>
      <c r="M47" s="170"/>
      <c r="Q47" s="180"/>
      <c r="R47" s="170"/>
      <c r="U47" s="184" t="s">
        <v>227</v>
      </c>
      <c r="V47" s="180"/>
      <c r="W47" s="170"/>
      <c r="AA47" s="180"/>
      <c r="AB47" s="170"/>
      <c r="AE47" s="184" t="s">
        <v>229</v>
      </c>
      <c r="AF47" s="185" t="s">
        <v>164</v>
      </c>
      <c r="AG47" s="170"/>
      <c r="AK47" s="180"/>
      <c r="AL47" s="170"/>
      <c r="AP47" s="180"/>
      <c r="AQ47" s="170"/>
      <c r="AU47" s="180"/>
      <c r="AV47" s="170"/>
      <c r="AZ47" s="180"/>
      <c r="BA47" s="170"/>
      <c r="BE47" s="180"/>
      <c r="BF47" s="170"/>
      <c r="BJ47" s="180"/>
      <c r="BN47" s="170"/>
      <c r="BO47" s="180"/>
      <c r="BP47" s="170"/>
      <c r="BS47" s="184" t="s">
        <v>227</v>
      </c>
      <c r="BT47" s="180"/>
      <c r="BU47" s="170"/>
      <c r="BY47" s="180"/>
      <c r="BZ47" s="170"/>
      <c r="CD47" s="180"/>
      <c r="CE47" s="170"/>
      <c r="CI47" s="180"/>
      <c r="CJ47" s="170"/>
      <c r="CN47" s="180"/>
      <c r="CO47" s="170"/>
      <c r="CS47" s="180"/>
      <c r="CT47" s="170"/>
      <c r="CX47" s="180"/>
      <c r="CY47" s="170"/>
      <c r="DC47" s="180"/>
      <c r="DD47" s="170"/>
      <c r="DH47" s="180"/>
      <c r="DI47" s="170"/>
      <c r="DM47" s="180"/>
      <c r="DN47" s="170"/>
      <c r="DR47" s="180"/>
      <c r="DS47" s="170"/>
      <c r="DW47" s="180"/>
      <c r="DX47" s="170"/>
      <c r="EB47" s="180"/>
      <c r="EC47" s="170"/>
      <c r="EG47" s="180"/>
      <c r="EH47" s="170"/>
      <c r="EL47" s="180"/>
      <c r="EM47" s="170"/>
      <c r="EQ47" s="180"/>
      <c r="ER47" s="170"/>
      <c r="EV47" s="180"/>
      <c r="EW47" s="170"/>
      <c r="FA47" s="180"/>
      <c r="FB47" s="170"/>
      <c r="FF47" s="180"/>
      <c r="FG47" s="170"/>
      <c r="FK47" s="180"/>
      <c r="FL47" s="170"/>
    </row>
    <row r="48" spans="1:169" ht="15">
      <c r="A48" s="62">
        <v>2015</v>
      </c>
      <c r="B48" s="63" t="s">
        <v>22</v>
      </c>
      <c r="C48" s="63" t="s">
        <v>23</v>
      </c>
      <c r="D48" s="63" t="s">
        <v>24</v>
      </c>
      <c r="F48" s="62">
        <v>2015</v>
      </c>
      <c r="G48" s="63" t="s">
        <v>22</v>
      </c>
      <c r="H48" s="63" t="s">
        <v>23</v>
      </c>
      <c r="I48" s="63" t="s">
        <v>24</v>
      </c>
      <c r="K48" s="62">
        <v>2015</v>
      </c>
      <c r="L48" s="63" t="s">
        <v>22</v>
      </c>
      <c r="M48" s="63" t="s">
        <v>23</v>
      </c>
      <c r="N48" s="63" t="s">
        <v>24</v>
      </c>
      <c r="P48" s="62">
        <v>2015</v>
      </c>
      <c r="Q48" s="63" t="s">
        <v>22</v>
      </c>
      <c r="R48" s="63" t="s">
        <v>23</v>
      </c>
      <c r="S48" s="63" t="s">
        <v>24</v>
      </c>
      <c r="T48" s="186"/>
      <c r="U48" s="62">
        <v>2015</v>
      </c>
      <c r="V48" s="63" t="s">
        <v>22</v>
      </c>
      <c r="W48" s="63" t="s">
        <v>23</v>
      </c>
      <c r="X48" s="63" t="s">
        <v>24</v>
      </c>
      <c r="Z48" s="62">
        <f>P48</f>
        <v>2015</v>
      </c>
      <c r="AA48" s="63" t="s">
        <v>22</v>
      </c>
      <c r="AB48" s="63" t="s">
        <v>23</v>
      </c>
      <c r="AC48" s="63" t="s">
        <v>24</v>
      </c>
      <c r="AE48" s="62">
        <v>2015</v>
      </c>
      <c r="AF48" s="63" t="s">
        <v>22</v>
      </c>
      <c r="AG48" s="63" t="s">
        <v>23</v>
      </c>
      <c r="AH48" s="63" t="s">
        <v>24</v>
      </c>
      <c r="AJ48" s="62">
        <v>2015</v>
      </c>
      <c r="AK48" s="63" t="s">
        <v>22</v>
      </c>
      <c r="AL48" s="63" t="s">
        <v>23</v>
      </c>
      <c r="AM48" s="63" t="s">
        <v>24</v>
      </c>
      <c r="AO48" s="62">
        <v>2015</v>
      </c>
      <c r="AP48" s="63" t="s">
        <v>22</v>
      </c>
      <c r="AQ48" s="63" t="s">
        <v>23</v>
      </c>
      <c r="AR48" s="63" t="s">
        <v>24</v>
      </c>
      <c r="AT48" s="62">
        <v>2015</v>
      </c>
      <c r="AU48" s="63" t="s">
        <v>22</v>
      </c>
      <c r="AV48" s="63" t="s">
        <v>23</v>
      </c>
      <c r="AW48" s="63" t="s">
        <v>24</v>
      </c>
      <c r="AY48" s="62">
        <v>2015</v>
      </c>
      <c r="AZ48" s="63" t="s">
        <v>22</v>
      </c>
      <c r="BA48" s="63" t="s">
        <v>23</v>
      </c>
      <c r="BB48" s="63" t="s">
        <v>24</v>
      </c>
      <c r="BD48" s="62">
        <v>2015</v>
      </c>
      <c r="BE48" s="63" t="s">
        <v>22</v>
      </c>
      <c r="BF48" s="63" t="s">
        <v>23</v>
      </c>
      <c r="BG48" s="63" t="s">
        <v>24</v>
      </c>
      <c r="BI48" s="62">
        <v>2015</v>
      </c>
      <c r="BJ48" s="63" t="s">
        <v>22</v>
      </c>
      <c r="BK48" s="63" t="s">
        <v>23</v>
      </c>
      <c r="BL48" s="63" t="s">
        <v>24</v>
      </c>
      <c r="BN48" s="62">
        <v>2015</v>
      </c>
      <c r="BO48" s="63" t="s">
        <v>22</v>
      </c>
      <c r="BP48" s="63" t="s">
        <v>23</v>
      </c>
      <c r="BQ48" s="63" t="s">
        <v>24</v>
      </c>
      <c r="BS48" s="62">
        <v>2015</v>
      </c>
      <c r="BT48" s="63" t="s">
        <v>22</v>
      </c>
      <c r="BU48" s="63" t="s">
        <v>23</v>
      </c>
      <c r="BV48" s="63" t="s">
        <v>24</v>
      </c>
      <c r="BX48" s="62">
        <v>2015</v>
      </c>
      <c r="BY48" s="63" t="s">
        <v>22</v>
      </c>
      <c r="BZ48" s="63" t="s">
        <v>23</v>
      </c>
      <c r="CA48" s="63" t="s">
        <v>24</v>
      </c>
      <c r="CB48" s="30"/>
      <c r="CC48" s="62">
        <f>BX48</f>
        <v>2015</v>
      </c>
      <c r="CD48" s="63" t="s">
        <v>22</v>
      </c>
      <c r="CE48" s="63" t="s">
        <v>23</v>
      </c>
      <c r="CF48" s="63" t="s">
        <v>24</v>
      </c>
      <c r="CG48" s="30"/>
      <c r="CH48" s="62">
        <f>CC48</f>
        <v>2015</v>
      </c>
      <c r="CI48" s="63" t="s">
        <v>22</v>
      </c>
      <c r="CJ48" s="63" t="s">
        <v>23</v>
      </c>
      <c r="CK48" s="63" t="s">
        <v>24</v>
      </c>
      <c r="CL48" s="30"/>
      <c r="CM48" s="62">
        <f>CH48</f>
        <v>2015</v>
      </c>
      <c r="CN48" s="63" t="s">
        <v>22</v>
      </c>
      <c r="CO48" s="63" t="s">
        <v>23</v>
      </c>
      <c r="CP48" s="63" t="s">
        <v>24</v>
      </c>
      <c r="CR48" s="62">
        <v>2015</v>
      </c>
      <c r="CS48" s="63" t="s">
        <v>22</v>
      </c>
      <c r="CT48" s="63" t="s">
        <v>23</v>
      </c>
      <c r="CU48" s="63" t="s">
        <v>24</v>
      </c>
      <c r="CW48" s="62">
        <v>2015</v>
      </c>
      <c r="CX48" s="63" t="s">
        <v>22</v>
      </c>
      <c r="CY48" s="63" t="s">
        <v>23</v>
      </c>
      <c r="CZ48" s="63" t="s">
        <v>24</v>
      </c>
      <c r="DB48" s="62">
        <v>2015</v>
      </c>
      <c r="DC48" s="63" t="s">
        <v>22</v>
      </c>
      <c r="DD48" s="63" t="s">
        <v>23</v>
      </c>
      <c r="DE48" s="63" t="s">
        <v>24</v>
      </c>
      <c r="DG48" s="62">
        <v>2015</v>
      </c>
      <c r="DH48" s="63" t="s">
        <v>22</v>
      </c>
      <c r="DI48" s="63" t="s">
        <v>23</v>
      </c>
      <c r="DJ48" s="63" t="s">
        <v>24</v>
      </c>
      <c r="DL48" s="62">
        <v>2015</v>
      </c>
      <c r="DM48" s="63" t="s">
        <v>22</v>
      </c>
      <c r="DN48" s="63" t="s">
        <v>23</v>
      </c>
      <c r="DO48" s="63" t="s">
        <v>24</v>
      </c>
      <c r="DQ48" s="62">
        <v>2015</v>
      </c>
      <c r="DR48" s="63" t="s">
        <v>22</v>
      </c>
      <c r="DS48" s="63" t="s">
        <v>23</v>
      </c>
      <c r="DT48" s="63" t="s">
        <v>24</v>
      </c>
      <c r="DV48" s="62">
        <v>2015</v>
      </c>
      <c r="DW48" s="63" t="s">
        <v>22</v>
      </c>
      <c r="DX48" s="63" t="s">
        <v>23</v>
      </c>
      <c r="DY48" s="63" t="s">
        <v>24</v>
      </c>
      <c r="EA48" s="62">
        <v>2015</v>
      </c>
      <c r="EB48" s="63" t="s">
        <v>22</v>
      </c>
      <c r="EC48" s="63" t="s">
        <v>23</v>
      </c>
      <c r="ED48" s="63" t="s">
        <v>24</v>
      </c>
      <c r="EF48" s="62">
        <v>2015</v>
      </c>
      <c r="EG48" s="63" t="s">
        <v>22</v>
      </c>
      <c r="EH48" s="63" t="s">
        <v>23</v>
      </c>
      <c r="EI48" s="63" t="s">
        <v>24</v>
      </c>
      <c r="EK48" s="62">
        <v>2015</v>
      </c>
      <c r="EL48" s="63" t="s">
        <v>22</v>
      </c>
      <c r="EM48" s="63" t="s">
        <v>23</v>
      </c>
      <c r="EN48" s="63" t="s">
        <v>24</v>
      </c>
      <c r="EP48" s="62">
        <v>2015</v>
      </c>
      <c r="EQ48" s="63" t="s">
        <v>22</v>
      </c>
      <c r="ER48" s="63" t="s">
        <v>23</v>
      </c>
      <c r="ES48" s="63" t="s">
        <v>24</v>
      </c>
      <c r="EU48" s="62">
        <v>2015</v>
      </c>
      <c r="EV48" s="63" t="s">
        <v>22</v>
      </c>
      <c r="EW48" s="63" t="s">
        <v>23</v>
      </c>
      <c r="EX48" s="63" t="s">
        <v>24</v>
      </c>
      <c r="EZ48" s="62">
        <v>2015</v>
      </c>
      <c r="FA48" s="63" t="s">
        <v>22</v>
      </c>
      <c r="FB48" s="63" t="s">
        <v>23</v>
      </c>
      <c r="FC48" s="63" t="s">
        <v>24</v>
      </c>
      <c r="FE48" s="62">
        <v>2015</v>
      </c>
      <c r="FF48" s="63" t="s">
        <v>22</v>
      </c>
      <c r="FG48" s="63" t="s">
        <v>23</v>
      </c>
      <c r="FH48" s="63" t="s">
        <v>24</v>
      </c>
      <c r="FJ48" s="62">
        <v>2015</v>
      </c>
      <c r="FK48" s="63" t="s">
        <v>22</v>
      </c>
      <c r="FL48" s="63" t="s">
        <v>23</v>
      </c>
      <c r="FM48" s="63" t="s">
        <v>24</v>
      </c>
    </row>
    <row r="49" spans="1:169" ht="15">
      <c r="A49" s="43" t="s">
        <v>25</v>
      </c>
      <c r="B49" s="142">
        <v>110558</v>
      </c>
      <c r="C49" s="118">
        <v>82448</v>
      </c>
      <c r="D49" s="143">
        <v>159452</v>
      </c>
      <c r="F49" s="43" t="s">
        <v>25</v>
      </c>
      <c r="G49" s="41">
        <v>488373</v>
      </c>
      <c r="H49" s="118">
        <v>331676</v>
      </c>
      <c r="I49" s="41">
        <v>624616</v>
      </c>
      <c r="K49" s="43" t="s">
        <v>25</v>
      </c>
      <c r="L49" s="41">
        <v>273350</v>
      </c>
      <c r="M49" s="118">
        <v>179940</v>
      </c>
      <c r="N49" s="41">
        <v>324699</v>
      </c>
      <c r="P49" s="43" t="s">
        <v>25</v>
      </c>
      <c r="Q49" s="41">
        <v>7761</v>
      </c>
      <c r="R49" s="118">
        <v>8185</v>
      </c>
      <c r="S49" s="41">
        <v>15501</v>
      </c>
      <c r="T49" s="6"/>
      <c r="U49" s="43" t="s">
        <v>25</v>
      </c>
      <c r="V49" s="41">
        <v>3574.2</v>
      </c>
      <c r="W49" s="118">
        <v>1973.9999999999998</v>
      </c>
      <c r="X49" s="41">
        <v>5462.0999999999995</v>
      </c>
      <c r="Z49" s="43" t="s">
        <v>25</v>
      </c>
      <c r="AA49" s="41">
        <v>4739</v>
      </c>
      <c r="AB49" s="118">
        <v>2769</v>
      </c>
      <c r="AC49" s="41">
        <v>4826</v>
      </c>
      <c r="AE49" s="43" t="s">
        <v>25</v>
      </c>
      <c r="AF49" s="41">
        <v>1509</v>
      </c>
      <c r="AG49" s="118">
        <v>1414</v>
      </c>
      <c r="AH49" s="41">
        <v>2692</v>
      </c>
      <c r="AJ49" s="43" t="s">
        <v>25</v>
      </c>
      <c r="AK49" s="41">
        <v>1336</v>
      </c>
      <c r="AL49" s="118">
        <v>2784</v>
      </c>
      <c r="AM49" s="41">
        <v>6081</v>
      </c>
      <c r="AO49" s="43" t="s">
        <v>25</v>
      </c>
      <c r="AP49" s="41">
        <v>2882</v>
      </c>
      <c r="AQ49" s="118">
        <v>7383</v>
      </c>
      <c r="AR49" s="41">
        <v>16025</v>
      </c>
      <c r="AT49" s="43" t="s">
        <v>25</v>
      </c>
      <c r="AU49" s="41">
        <v>2535</v>
      </c>
      <c r="AV49" s="118">
        <v>3705</v>
      </c>
      <c r="AW49" s="41">
        <v>7788</v>
      </c>
      <c r="AY49" s="43" t="s">
        <v>25</v>
      </c>
      <c r="AZ49" s="41">
        <v>2587</v>
      </c>
      <c r="BA49" s="118">
        <v>7480</v>
      </c>
      <c r="BB49" s="41">
        <v>16182</v>
      </c>
      <c r="BD49" s="43" t="s">
        <v>25</v>
      </c>
      <c r="BE49" s="41">
        <v>3335</v>
      </c>
      <c r="BF49" s="118">
        <v>2295</v>
      </c>
      <c r="BG49" s="41">
        <v>3439</v>
      </c>
      <c r="BI49" s="43" t="s">
        <v>25</v>
      </c>
      <c r="BJ49" s="41">
        <v>11496</v>
      </c>
      <c r="BK49" s="118">
        <v>7582</v>
      </c>
      <c r="BL49" s="41">
        <v>14906</v>
      </c>
      <c r="BM49" s="115"/>
      <c r="BN49" s="43" t="s">
        <v>25</v>
      </c>
      <c r="BO49" s="41">
        <v>203</v>
      </c>
      <c r="BP49" s="118">
        <v>54</v>
      </c>
      <c r="BQ49" s="41">
        <v>66</v>
      </c>
      <c r="BS49" s="43" t="s">
        <v>25</v>
      </c>
      <c r="BT49" s="41">
        <v>603</v>
      </c>
      <c r="BU49" s="118">
        <v>493</v>
      </c>
      <c r="BV49" s="41">
        <v>942</v>
      </c>
      <c r="BX49" s="43" t="s">
        <v>25</v>
      </c>
      <c r="BY49" s="41">
        <f>30146</f>
        <v>30146</v>
      </c>
      <c r="BZ49" s="118">
        <f>33449</f>
        <v>33449</v>
      </c>
      <c r="CA49" s="41">
        <f>85004</f>
        <v>85004</v>
      </c>
      <c r="CB49" s="30"/>
      <c r="CC49" s="43" t="s">
        <v>25</v>
      </c>
      <c r="CD49" s="41">
        <f>1363</f>
        <v>1363</v>
      </c>
      <c r="CE49" s="118">
        <f>2460</f>
        <v>2460</v>
      </c>
      <c r="CF49" s="41">
        <f>9692</f>
        <v>9692</v>
      </c>
      <c r="CG49" s="30"/>
      <c r="CH49" s="43" t="s">
        <v>25</v>
      </c>
      <c r="CI49" s="41">
        <v>380</v>
      </c>
      <c r="CJ49" s="118">
        <v>559</v>
      </c>
      <c r="CK49" s="41">
        <v>151</v>
      </c>
      <c r="CL49" s="30"/>
      <c r="CM49" s="43" t="s">
        <v>25</v>
      </c>
      <c r="CN49" s="41">
        <v>38</v>
      </c>
      <c r="CO49" s="118">
        <v>30</v>
      </c>
      <c r="CP49" s="41">
        <v>57</v>
      </c>
      <c r="CR49" s="43" t="s">
        <v>25</v>
      </c>
      <c r="CS49" s="140">
        <v>129</v>
      </c>
      <c r="CT49" s="141">
        <v>65</v>
      </c>
      <c r="CU49" s="140">
        <v>118</v>
      </c>
      <c r="CW49" s="43" t="s">
        <v>25</v>
      </c>
      <c r="CX49" s="140">
        <v>75</v>
      </c>
      <c r="CY49" s="141">
        <v>59</v>
      </c>
      <c r="CZ49" s="140">
        <v>112</v>
      </c>
      <c r="DB49" s="43" t="s">
        <v>25</v>
      </c>
      <c r="DC49" s="140">
        <v>2140</v>
      </c>
      <c r="DD49" s="141">
        <v>1579</v>
      </c>
      <c r="DE49" s="140">
        <v>2947</v>
      </c>
      <c r="DG49" s="43" t="s">
        <v>25</v>
      </c>
      <c r="DH49" s="140">
        <v>1198</v>
      </c>
      <c r="DI49" s="141">
        <v>2198</v>
      </c>
      <c r="DJ49" s="140">
        <v>5605</v>
      </c>
      <c r="DL49" s="43" t="s">
        <v>25</v>
      </c>
      <c r="DM49" s="140">
        <v>75</v>
      </c>
      <c r="DN49" s="141">
        <v>64</v>
      </c>
      <c r="DO49" s="140">
        <v>135</v>
      </c>
      <c r="DQ49" s="43" t="s">
        <v>25</v>
      </c>
      <c r="DR49" s="140">
        <v>8885</v>
      </c>
      <c r="DS49" s="141">
        <v>8247</v>
      </c>
      <c r="DT49" s="140">
        <v>16418</v>
      </c>
      <c r="DV49" s="43" t="s">
        <v>25</v>
      </c>
      <c r="DW49" s="140">
        <v>28405</v>
      </c>
      <c r="DX49" s="141">
        <v>23451</v>
      </c>
      <c r="DY49" s="140">
        <v>40948</v>
      </c>
      <c r="EA49" s="43" t="s">
        <v>25</v>
      </c>
      <c r="EB49" s="140">
        <v>6978</v>
      </c>
      <c r="EC49" s="141">
        <v>6888</v>
      </c>
      <c r="ED49" s="140">
        <v>15521</v>
      </c>
      <c r="EF49" s="43" t="s">
        <v>25</v>
      </c>
      <c r="EG49" s="140">
        <v>10874</v>
      </c>
      <c r="EH49" s="141">
        <v>6519</v>
      </c>
      <c r="EI49" s="140">
        <v>14697</v>
      </c>
      <c r="EK49" s="43" t="s">
        <v>25</v>
      </c>
      <c r="EL49" s="140">
        <v>6617</v>
      </c>
      <c r="EM49" s="141">
        <v>7001</v>
      </c>
      <c r="EN49" s="140">
        <v>16792</v>
      </c>
      <c r="EP49" s="43" t="s">
        <v>25</v>
      </c>
      <c r="EQ49" s="140">
        <v>6436</v>
      </c>
      <c r="ER49" s="141">
        <v>3743</v>
      </c>
      <c r="ES49" s="140">
        <v>10880</v>
      </c>
      <c r="EU49" s="43" t="s">
        <v>25</v>
      </c>
      <c r="EV49" s="140">
        <v>3502</v>
      </c>
      <c r="EW49" s="141">
        <v>3137</v>
      </c>
      <c r="EX49" s="140">
        <v>11033</v>
      </c>
      <c r="EZ49" s="43" t="s">
        <v>25</v>
      </c>
      <c r="FA49" s="140">
        <v>8411</v>
      </c>
      <c r="FB49" s="141">
        <v>6450</v>
      </c>
      <c r="FC49" s="140">
        <v>13828</v>
      </c>
      <c r="FE49" s="43" t="s">
        <v>25</v>
      </c>
      <c r="FF49" s="140">
        <v>1066</v>
      </c>
      <c r="FG49" s="141">
        <v>472</v>
      </c>
      <c r="FH49" s="140">
        <v>2313</v>
      </c>
      <c r="FJ49" s="43" t="s">
        <v>25</v>
      </c>
      <c r="FK49" s="140">
        <v>77</v>
      </c>
      <c r="FL49" s="141">
        <v>58</v>
      </c>
      <c r="FM49" s="140">
        <v>294</v>
      </c>
    </row>
    <row r="50" spans="1:169" ht="15">
      <c r="A50" s="43" t="s">
        <v>26</v>
      </c>
      <c r="B50" s="142">
        <v>114292</v>
      </c>
      <c r="C50" s="118">
        <v>75552</v>
      </c>
      <c r="D50" s="143">
        <v>140374</v>
      </c>
      <c r="F50" s="43" t="s">
        <v>26</v>
      </c>
      <c r="G50" s="41">
        <v>485438</v>
      </c>
      <c r="H50" s="118">
        <v>302792</v>
      </c>
      <c r="I50" s="41">
        <v>521739</v>
      </c>
      <c r="K50" s="43" t="s">
        <v>26</v>
      </c>
      <c r="L50" s="41">
        <v>272459</v>
      </c>
      <c r="M50" s="118">
        <v>161462</v>
      </c>
      <c r="N50" s="41">
        <v>277068</v>
      </c>
      <c r="P50" s="43" t="s">
        <v>26</v>
      </c>
      <c r="Q50" s="41">
        <v>8440</v>
      </c>
      <c r="R50" s="118">
        <v>6539</v>
      </c>
      <c r="S50" s="41">
        <v>13840</v>
      </c>
      <c r="T50" s="6"/>
      <c r="U50" s="43" t="s">
        <v>26</v>
      </c>
      <c r="V50" s="41">
        <v>3710.7</v>
      </c>
      <c r="W50" s="118">
        <v>1774.5</v>
      </c>
      <c r="X50" s="41">
        <v>4946.8999999999996</v>
      </c>
      <c r="Z50" s="43" t="s">
        <v>26</v>
      </c>
      <c r="AA50" s="41">
        <v>4879</v>
      </c>
      <c r="AB50" s="118">
        <v>2473</v>
      </c>
      <c r="AC50" s="41">
        <v>4003</v>
      </c>
      <c r="AE50" s="43" t="s">
        <v>26</v>
      </c>
      <c r="AF50" s="41">
        <v>1854</v>
      </c>
      <c r="AG50" s="118">
        <v>1537</v>
      </c>
      <c r="AH50" s="41">
        <v>2777</v>
      </c>
      <c r="AJ50" s="43" t="s">
        <v>26</v>
      </c>
      <c r="AK50" s="41">
        <v>989</v>
      </c>
      <c r="AL50" s="118">
        <v>2682</v>
      </c>
      <c r="AM50" s="41">
        <v>5439</v>
      </c>
      <c r="AO50" s="43" t="s">
        <v>26</v>
      </c>
      <c r="AP50" s="41">
        <v>1888</v>
      </c>
      <c r="AQ50" s="118">
        <v>6569</v>
      </c>
      <c r="AR50" s="41">
        <v>13949</v>
      </c>
      <c r="AT50" s="43" t="s">
        <v>26</v>
      </c>
      <c r="AU50" s="41">
        <v>1997</v>
      </c>
      <c r="AV50" s="118">
        <v>3392</v>
      </c>
      <c r="AW50" s="41">
        <v>6899</v>
      </c>
      <c r="AY50" s="43" t="s">
        <v>26</v>
      </c>
      <c r="AZ50" s="41">
        <v>1561</v>
      </c>
      <c r="BA50" s="118">
        <v>6498</v>
      </c>
      <c r="BB50" s="41">
        <v>13999</v>
      </c>
      <c r="BD50" s="43" t="s">
        <v>26</v>
      </c>
      <c r="BE50" s="41">
        <v>3423</v>
      </c>
      <c r="BF50" s="118">
        <v>2095</v>
      </c>
      <c r="BG50" s="41">
        <v>2793</v>
      </c>
      <c r="BI50" s="43" t="s">
        <v>26</v>
      </c>
      <c r="BJ50" s="41">
        <v>10770.734463276836</v>
      </c>
      <c r="BK50" s="41">
        <v>7103.6629001883239</v>
      </c>
      <c r="BL50" s="41">
        <v>13965.602636534841</v>
      </c>
      <c r="BN50" s="43" t="s">
        <v>26</v>
      </c>
      <c r="BO50" s="41">
        <v>456</v>
      </c>
      <c r="BP50" s="118">
        <v>113</v>
      </c>
      <c r="BQ50" s="41">
        <v>122</v>
      </c>
      <c r="BS50" s="43" t="s">
        <v>26</v>
      </c>
      <c r="BT50" s="41">
        <v>419</v>
      </c>
      <c r="BU50" s="118">
        <v>343</v>
      </c>
      <c r="BV50" s="41">
        <v>654</v>
      </c>
      <c r="BX50" s="43" t="s">
        <v>26</v>
      </c>
      <c r="BY50" s="41">
        <f>28826</f>
        <v>28826</v>
      </c>
      <c r="BZ50" s="118">
        <f>30501</f>
        <v>30501</v>
      </c>
      <c r="CA50" s="41">
        <f>74523</f>
        <v>74523</v>
      </c>
      <c r="CB50" s="30"/>
      <c r="CC50" s="43" t="s">
        <v>26</v>
      </c>
      <c r="CD50" s="41">
        <f>755</f>
        <v>755</v>
      </c>
      <c r="CE50" s="118">
        <f>1326</f>
        <v>1326</v>
      </c>
      <c r="CF50" s="41">
        <f>7225</f>
        <v>7225</v>
      </c>
      <c r="CG50" s="30"/>
      <c r="CH50" s="43" t="s">
        <v>26</v>
      </c>
      <c r="CI50" s="41">
        <v>365</v>
      </c>
      <c r="CJ50" s="118">
        <v>494</v>
      </c>
      <c r="CK50" s="41">
        <v>161</v>
      </c>
      <c r="CL50" s="30"/>
      <c r="CM50" s="43" t="s">
        <v>26</v>
      </c>
      <c r="CN50" s="41">
        <v>49</v>
      </c>
      <c r="CO50" s="118">
        <v>29</v>
      </c>
      <c r="CP50" s="41">
        <v>50</v>
      </c>
      <c r="CR50" s="43" t="s">
        <v>26</v>
      </c>
      <c r="CS50" s="140">
        <v>121</v>
      </c>
      <c r="CT50" s="141">
        <v>67</v>
      </c>
      <c r="CU50" s="140">
        <v>117</v>
      </c>
      <c r="CW50" s="43" t="s">
        <v>26</v>
      </c>
      <c r="CX50" s="140">
        <v>72</v>
      </c>
      <c r="CY50" s="141">
        <v>56</v>
      </c>
      <c r="CZ50" s="140">
        <v>109</v>
      </c>
      <c r="DB50" s="43" t="s">
        <v>26</v>
      </c>
      <c r="DC50" s="140">
        <v>2259</v>
      </c>
      <c r="DD50" s="141">
        <v>1563</v>
      </c>
      <c r="DE50" s="140">
        <v>3057</v>
      </c>
      <c r="DG50" s="43" t="s">
        <v>26</v>
      </c>
      <c r="DH50" s="140">
        <v>960</v>
      </c>
      <c r="DI50" s="141">
        <v>1909</v>
      </c>
      <c r="DJ50" s="140">
        <v>4985</v>
      </c>
      <c r="DL50" s="43" t="s">
        <v>26</v>
      </c>
      <c r="DM50" s="140">
        <v>73</v>
      </c>
      <c r="DN50" s="141">
        <v>59</v>
      </c>
      <c r="DO50" s="140">
        <v>116</v>
      </c>
      <c r="DQ50" s="43" t="s">
        <v>26</v>
      </c>
      <c r="DR50" s="140">
        <v>8851</v>
      </c>
      <c r="DS50" s="141">
        <v>7427</v>
      </c>
      <c r="DT50" s="140">
        <v>13720</v>
      </c>
      <c r="DV50" s="43" t="s">
        <v>26</v>
      </c>
      <c r="DW50" s="140">
        <v>30474</v>
      </c>
      <c r="DX50" s="141">
        <v>22505</v>
      </c>
      <c r="DY50" s="140">
        <v>35983</v>
      </c>
      <c r="EA50" s="43" t="s">
        <v>26</v>
      </c>
      <c r="EB50" s="140">
        <v>6832</v>
      </c>
      <c r="EC50" s="141">
        <v>6591</v>
      </c>
      <c r="ED50" s="140">
        <v>14225</v>
      </c>
      <c r="EF50" s="43" t="s">
        <v>26</v>
      </c>
      <c r="EG50" s="140">
        <v>8309</v>
      </c>
      <c r="EH50" s="141">
        <v>5560</v>
      </c>
      <c r="EI50" s="140">
        <v>12246</v>
      </c>
      <c r="EK50" s="43" t="s">
        <v>26</v>
      </c>
      <c r="EL50" s="140">
        <v>6310</v>
      </c>
      <c r="EM50" s="141">
        <v>6469</v>
      </c>
      <c r="EN50" s="140">
        <v>15023</v>
      </c>
      <c r="EP50" s="43" t="s">
        <v>26</v>
      </c>
      <c r="EQ50" s="140">
        <v>5914</v>
      </c>
      <c r="ER50" s="141">
        <v>3462</v>
      </c>
      <c r="ES50" s="140">
        <v>9995</v>
      </c>
      <c r="EU50" s="43" t="s">
        <v>26</v>
      </c>
      <c r="EV50" s="140">
        <v>3132</v>
      </c>
      <c r="EW50" s="141">
        <v>2907</v>
      </c>
      <c r="EX50" s="140">
        <v>10063</v>
      </c>
      <c r="EZ50" s="43" t="s">
        <v>26</v>
      </c>
      <c r="FA50" s="140">
        <v>8013</v>
      </c>
      <c r="FB50" s="141">
        <v>5734</v>
      </c>
      <c r="FC50" s="140">
        <v>11947</v>
      </c>
      <c r="FE50" s="43" t="s">
        <v>26</v>
      </c>
      <c r="FF50" s="140">
        <v>913</v>
      </c>
      <c r="FG50" s="141">
        <v>440</v>
      </c>
      <c r="FH50" s="140">
        <v>2173</v>
      </c>
      <c r="FJ50" s="43" t="s">
        <v>26</v>
      </c>
      <c r="FK50" s="140">
        <v>55</v>
      </c>
      <c r="FL50" s="141">
        <v>53</v>
      </c>
      <c r="FM50" s="140">
        <v>270</v>
      </c>
    </row>
    <row r="51" spans="1:169" ht="15">
      <c r="A51" s="43" t="s">
        <v>27</v>
      </c>
      <c r="B51" s="142">
        <v>160654</v>
      </c>
      <c r="C51" s="118">
        <v>104498</v>
      </c>
      <c r="D51" s="143">
        <v>181506</v>
      </c>
      <c r="F51" s="43" t="s">
        <v>27</v>
      </c>
      <c r="G51" s="41">
        <v>565976</v>
      </c>
      <c r="H51" s="118">
        <v>350362</v>
      </c>
      <c r="I51" s="41">
        <v>626351</v>
      </c>
      <c r="K51" s="43" t="s">
        <v>27</v>
      </c>
      <c r="L51" s="41">
        <v>309564</v>
      </c>
      <c r="M51" s="118">
        <v>175586</v>
      </c>
      <c r="N51" s="41">
        <v>306765</v>
      </c>
      <c r="P51" s="43" t="s">
        <v>27</v>
      </c>
      <c r="Q51" s="41">
        <v>6257</v>
      </c>
      <c r="R51" s="118">
        <v>4291</v>
      </c>
      <c r="S51" s="41">
        <v>10266</v>
      </c>
      <c r="T51" s="6"/>
      <c r="U51" s="43" t="s">
        <v>27</v>
      </c>
      <c r="V51" s="41">
        <v>3569.2999999999997</v>
      </c>
      <c r="W51" s="118">
        <v>1713.6</v>
      </c>
      <c r="X51" s="41">
        <v>3118.5</v>
      </c>
      <c r="Z51" s="43" t="s">
        <v>27</v>
      </c>
      <c r="AA51" s="41">
        <v>4936</v>
      </c>
      <c r="AB51" s="118">
        <v>2420</v>
      </c>
      <c r="AC51" s="41">
        <v>4229</v>
      </c>
      <c r="AE51" s="43" t="s">
        <v>27</v>
      </c>
      <c r="AF51" s="41">
        <v>1583</v>
      </c>
      <c r="AG51" s="118">
        <v>1335</v>
      </c>
      <c r="AH51" s="41">
        <v>2698</v>
      </c>
      <c r="AJ51" s="43" t="s">
        <v>27</v>
      </c>
      <c r="AK51" s="41">
        <v>672</v>
      </c>
      <c r="AL51" s="118">
        <v>2374</v>
      </c>
      <c r="AM51" s="41">
        <v>5685</v>
      </c>
      <c r="AO51" s="43" t="s">
        <v>27</v>
      </c>
      <c r="AP51" s="41">
        <v>1231</v>
      </c>
      <c r="AQ51" s="118">
        <v>5996</v>
      </c>
      <c r="AR51" s="41">
        <v>14496</v>
      </c>
      <c r="AT51" s="43" t="s">
        <v>27</v>
      </c>
      <c r="AU51" s="41">
        <v>1822</v>
      </c>
      <c r="AV51" s="118">
        <v>2927</v>
      </c>
      <c r="AW51" s="41">
        <v>7064</v>
      </c>
      <c r="AY51" s="43" t="s">
        <v>27</v>
      </c>
      <c r="AZ51" s="41">
        <v>783</v>
      </c>
      <c r="BA51" s="118">
        <v>5906</v>
      </c>
      <c r="BB51" s="41">
        <v>14577</v>
      </c>
      <c r="BD51" s="43" t="s">
        <v>27</v>
      </c>
      <c r="BE51" s="41">
        <v>2694</v>
      </c>
      <c r="BF51" s="118">
        <v>1598</v>
      </c>
      <c r="BG51" s="41">
        <v>2236</v>
      </c>
      <c r="BI51" s="43" t="s">
        <v>27</v>
      </c>
      <c r="BJ51" s="41">
        <v>10753</v>
      </c>
      <c r="BK51" s="118">
        <v>6381</v>
      </c>
      <c r="BL51" s="41">
        <v>12552</v>
      </c>
      <c r="BN51" s="43" t="s">
        <v>27</v>
      </c>
      <c r="BO51" s="41">
        <v>269</v>
      </c>
      <c r="BP51" s="118">
        <v>108</v>
      </c>
      <c r="BQ51" s="41">
        <v>136</v>
      </c>
      <c r="BS51" s="43" t="s">
        <v>27</v>
      </c>
      <c r="BT51" s="41">
        <v>69</v>
      </c>
      <c r="BU51" s="118">
        <v>50</v>
      </c>
      <c r="BV51" s="41">
        <v>94</v>
      </c>
      <c r="BX51" s="43" t="s">
        <v>27</v>
      </c>
      <c r="BY51" s="41">
        <f>24102</f>
        <v>24102</v>
      </c>
      <c r="BZ51" s="118">
        <f>26534</f>
        <v>26534</v>
      </c>
      <c r="CA51" s="41">
        <f>77571</f>
        <v>77571</v>
      </c>
      <c r="CB51" s="30"/>
      <c r="CC51" s="43" t="s">
        <v>27</v>
      </c>
      <c r="CD51" s="41">
        <f>785</f>
        <v>785</v>
      </c>
      <c r="CE51" s="118">
        <f>1337</f>
        <v>1337</v>
      </c>
      <c r="CF51" s="41">
        <f>7655</f>
        <v>7655</v>
      </c>
      <c r="CG51" s="30"/>
      <c r="CH51" s="43" t="s">
        <v>27</v>
      </c>
      <c r="CI51" s="41">
        <v>267</v>
      </c>
      <c r="CJ51" s="118">
        <v>679</v>
      </c>
      <c r="CK51" s="41">
        <v>191</v>
      </c>
      <c r="CL51" s="30"/>
      <c r="CM51" s="43" t="s">
        <v>27</v>
      </c>
      <c r="CN51" s="41">
        <v>45</v>
      </c>
      <c r="CO51" s="118">
        <v>29</v>
      </c>
      <c r="CP51" s="41">
        <v>56</v>
      </c>
      <c r="CR51" s="43" t="s">
        <v>27</v>
      </c>
      <c r="CS51" s="140">
        <v>123</v>
      </c>
      <c r="CT51" s="141">
        <v>76</v>
      </c>
      <c r="CU51" s="140">
        <v>112</v>
      </c>
      <c r="CW51" s="43" t="s">
        <v>27</v>
      </c>
      <c r="CX51" s="140">
        <v>78</v>
      </c>
      <c r="CY51" s="141">
        <v>54</v>
      </c>
      <c r="CZ51" s="140">
        <v>108</v>
      </c>
      <c r="DB51" s="43" t="s">
        <v>27</v>
      </c>
      <c r="DC51" s="140">
        <v>2284</v>
      </c>
      <c r="DD51" s="141">
        <v>1698</v>
      </c>
      <c r="DE51" s="140">
        <v>2936</v>
      </c>
      <c r="DG51" s="43" t="s">
        <v>27</v>
      </c>
      <c r="DH51" s="140">
        <v>680</v>
      </c>
      <c r="DI51" s="141">
        <v>1851</v>
      </c>
      <c r="DJ51" s="140">
        <v>5252</v>
      </c>
      <c r="DL51" s="43" t="s">
        <v>27</v>
      </c>
      <c r="DM51" s="140">
        <v>58</v>
      </c>
      <c r="DN51" s="141">
        <v>43</v>
      </c>
      <c r="DO51" s="140">
        <v>106</v>
      </c>
      <c r="DQ51" s="43" t="s">
        <v>27</v>
      </c>
      <c r="DR51" s="140">
        <v>12789</v>
      </c>
      <c r="DS51" s="141">
        <v>11162</v>
      </c>
      <c r="DT51" s="140">
        <v>19955</v>
      </c>
      <c r="DV51" s="43" t="s">
        <v>27</v>
      </c>
      <c r="DW51" s="140">
        <v>42892</v>
      </c>
      <c r="DX51" s="141">
        <v>32306</v>
      </c>
      <c r="DY51" s="140">
        <v>55805</v>
      </c>
      <c r="EA51" s="43" t="s">
        <v>27</v>
      </c>
      <c r="EB51" s="140">
        <v>6570</v>
      </c>
      <c r="EC51" s="141">
        <v>5865</v>
      </c>
      <c r="ED51" s="140">
        <v>14191</v>
      </c>
      <c r="EF51" s="43" t="s">
        <v>27</v>
      </c>
      <c r="EG51" s="140">
        <v>7405</v>
      </c>
      <c r="EH51" s="141">
        <v>5307</v>
      </c>
      <c r="EI51" s="140">
        <v>12917</v>
      </c>
      <c r="EK51" s="43" t="s">
        <v>27</v>
      </c>
      <c r="EL51" s="140">
        <v>6130</v>
      </c>
      <c r="EM51" s="141">
        <v>6308</v>
      </c>
      <c r="EN51" s="140">
        <v>16247</v>
      </c>
      <c r="EP51" s="43" t="s">
        <v>27</v>
      </c>
      <c r="EQ51" s="140">
        <v>5868</v>
      </c>
      <c r="ER51" s="141">
        <v>3335</v>
      </c>
      <c r="ES51" s="140">
        <v>10780</v>
      </c>
      <c r="EU51" s="43" t="s">
        <v>27</v>
      </c>
      <c r="EV51" s="140">
        <v>2570</v>
      </c>
      <c r="EW51" s="141">
        <v>2522</v>
      </c>
      <c r="EX51" s="140">
        <v>10677</v>
      </c>
      <c r="EZ51" s="43" t="s">
        <v>27</v>
      </c>
      <c r="FA51" s="140">
        <v>8311</v>
      </c>
      <c r="FB51" s="141">
        <v>5775</v>
      </c>
      <c r="FC51" s="140">
        <v>13162</v>
      </c>
      <c r="FE51" s="43" t="s">
        <v>27</v>
      </c>
      <c r="FF51" s="140">
        <v>1043</v>
      </c>
      <c r="FG51" s="141">
        <v>829</v>
      </c>
      <c r="FH51" s="140">
        <v>1007</v>
      </c>
      <c r="FJ51" s="43" t="s">
        <v>27</v>
      </c>
      <c r="FK51" s="140">
        <v>153</v>
      </c>
      <c r="FL51" s="141">
        <v>121</v>
      </c>
      <c r="FM51" s="140">
        <v>148</v>
      </c>
    </row>
    <row r="52" spans="1:169" ht="15">
      <c r="A52" s="43" t="s">
        <v>28</v>
      </c>
      <c r="B52" s="142">
        <v>169256</v>
      </c>
      <c r="C52" s="118">
        <v>98506</v>
      </c>
      <c r="D52" s="143">
        <v>200774</v>
      </c>
      <c r="F52" s="43" t="s">
        <v>28</v>
      </c>
      <c r="G52" s="41">
        <v>560852</v>
      </c>
      <c r="H52" s="118">
        <v>346688</v>
      </c>
      <c r="I52" s="41">
        <v>705656</v>
      </c>
      <c r="K52" s="43" t="s">
        <v>28</v>
      </c>
      <c r="L52" s="120">
        <v>295949</v>
      </c>
      <c r="M52" s="120">
        <v>159098</v>
      </c>
      <c r="N52" s="120">
        <v>305348</v>
      </c>
      <c r="P52" s="43" t="s">
        <v>28</v>
      </c>
      <c r="Q52" s="41">
        <v>6492</v>
      </c>
      <c r="R52" s="118">
        <v>4603</v>
      </c>
      <c r="S52" s="41">
        <v>12862</v>
      </c>
      <c r="T52" s="6"/>
      <c r="U52" s="43" t="s">
        <v>28</v>
      </c>
      <c r="V52" s="41">
        <v>2340.1</v>
      </c>
      <c r="W52" s="118">
        <v>1437.8</v>
      </c>
      <c r="X52" s="41">
        <v>2657.8999999999996</v>
      </c>
      <c r="Z52" s="43" t="s">
        <v>28</v>
      </c>
      <c r="AA52" s="41">
        <v>3126</v>
      </c>
      <c r="AB52" s="118">
        <v>1706</v>
      </c>
      <c r="AC52" s="41">
        <v>3828</v>
      </c>
      <c r="AE52" s="43" t="s">
        <v>28</v>
      </c>
      <c r="AF52" s="41">
        <v>1112</v>
      </c>
      <c r="AG52" s="118">
        <v>896</v>
      </c>
      <c r="AH52" s="41">
        <v>2042</v>
      </c>
      <c r="AJ52" s="43" t="s">
        <v>28</v>
      </c>
      <c r="AK52" s="41">
        <v>148</v>
      </c>
      <c r="AL52" s="118">
        <v>1511</v>
      </c>
      <c r="AM52" s="41">
        <v>5083</v>
      </c>
      <c r="AO52" s="43" t="s">
        <v>28</v>
      </c>
      <c r="AP52" s="41">
        <v>390</v>
      </c>
      <c r="AQ52" s="118">
        <v>3659</v>
      </c>
      <c r="AR52" s="41">
        <v>13155</v>
      </c>
      <c r="AT52" s="43" t="s">
        <v>28</v>
      </c>
      <c r="AU52" s="41">
        <v>488</v>
      </c>
      <c r="AV52" s="118">
        <v>1846</v>
      </c>
      <c r="AW52" s="41">
        <v>6105</v>
      </c>
      <c r="AY52" s="43" t="s">
        <v>28</v>
      </c>
      <c r="AZ52" s="41">
        <v>170</v>
      </c>
      <c r="BA52" s="118">
        <v>3598</v>
      </c>
      <c r="BB52" s="41">
        <v>13401</v>
      </c>
      <c r="BD52" s="43" t="s">
        <v>28</v>
      </c>
      <c r="BE52" s="41">
        <v>1404</v>
      </c>
      <c r="BF52" s="118">
        <v>887</v>
      </c>
      <c r="BG52" s="41">
        <v>1430</v>
      </c>
      <c r="BI52" s="43" t="s">
        <v>28</v>
      </c>
      <c r="BJ52" s="41">
        <v>8426</v>
      </c>
      <c r="BK52" s="118">
        <v>4797</v>
      </c>
      <c r="BL52" s="41">
        <v>11219</v>
      </c>
      <c r="BN52" s="43" t="s">
        <v>28</v>
      </c>
      <c r="BO52" s="41">
        <v>114</v>
      </c>
      <c r="BP52" s="118">
        <v>35</v>
      </c>
      <c r="BQ52" s="41">
        <v>71</v>
      </c>
      <c r="BS52" s="43" t="s">
        <v>28</v>
      </c>
      <c r="BT52" s="41">
        <v>605</v>
      </c>
      <c r="BU52" s="118">
        <v>401</v>
      </c>
      <c r="BV52" s="41">
        <v>881</v>
      </c>
      <c r="BX52" s="43" t="s">
        <v>28</v>
      </c>
      <c r="BY52" s="41">
        <f>15909</f>
        <v>15909</v>
      </c>
      <c r="BZ52" s="118">
        <f>20006</f>
        <v>20006</v>
      </c>
      <c r="CA52" s="41">
        <f>71458</f>
        <v>71458</v>
      </c>
      <c r="CB52" s="30"/>
      <c r="CC52" s="43" t="s">
        <v>28</v>
      </c>
      <c r="CD52" s="41">
        <f>787</f>
        <v>787</v>
      </c>
      <c r="CE52" s="118">
        <f>2018</f>
        <v>2018</v>
      </c>
      <c r="CF52" s="41">
        <f>9380</f>
        <v>9380</v>
      </c>
      <c r="CG52" s="30"/>
      <c r="CH52" s="43" t="s">
        <v>28</v>
      </c>
      <c r="CI52" s="41">
        <v>262</v>
      </c>
      <c r="CJ52" s="118">
        <v>603</v>
      </c>
      <c r="CK52" s="41">
        <v>212</v>
      </c>
      <c r="CL52" s="30"/>
      <c r="CM52" s="43" t="s">
        <v>28</v>
      </c>
      <c r="CN52" s="41">
        <v>41</v>
      </c>
      <c r="CO52" s="118">
        <v>25</v>
      </c>
      <c r="CP52" s="41">
        <v>56</v>
      </c>
      <c r="CR52" s="43" t="s">
        <v>28</v>
      </c>
      <c r="CS52" s="140">
        <v>147</v>
      </c>
      <c r="CT52" s="140">
        <v>54</v>
      </c>
      <c r="CU52" s="140">
        <v>136</v>
      </c>
      <c r="CW52" s="43" t="s">
        <v>28</v>
      </c>
      <c r="CX52" s="140">
        <v>77</v>
      </c>
      <c r="CY52" s="140">
        <v>58</v>
      </c>
      <c r="CZ52" s="140">
        <v>106</v>
      </c>
      <c r="DB52" s="43" t="s">
        <v>28</v>
      </c>
      <c r="DC52" s="140">
        <v>2100</v>
      </c>
      <c r="DD52" s="140">
        <v>1552</v>
      </c>
      <c r="DE52" s="140">
        <v>2998</v>
      </c>
      <c r="DG52" s="43" t="s">
        <v>28</v>
      </c>
      <c r="DH52" s="140">
        <v>399</v>
      </c>
      <c r="DI52" s="140">
        <v>1186</v>
      </c>
      <c r="DJ52" s="140">
        <v>4803</v>
      </c>
      <c r="DL52" s="43" t="s">
        <v>28</v>
      </c>
      <c r="DM52" s="140">
        <v>40</v>
      </c>
      <c r="DN52" s="140">
        <v>28</v>
      </c>
      <c r="DO52" s="140">
        <v>80</v>
      </c>
      <c r="DQ52" s="43" t="s">
        <v>28</v>
      </c>
      <c r="DR52" s="140">
        <v>15477</v>
      </c>
      <c r="DS52" s="140">
        <v>13383</v>
      </c>
      <c r="DT52" s="140">
        <v>24522</v>
      </c>
      <c r="DV52" s="43" t="s">
        <v>28</v>
      </c>
      <c r="DW52" s="140">
        <v>45207</v>
      </c>
      <c r="DX52" s="140">
        <v>30768</v>
      </c>
      <c r="DY52" s="140">
        <v>62712</v>
      </c>
      <c r="EA52" s="43" t="s">
        <v>28</v>
      </c>
      <c r="EB52" s="140">
        <v>4498</v>
      </c>
      <c r="EC52" s="140">
        <v>4109</v>
      </c>
      <c r="ED52" s="140">
        <v>12458</v>
      </c>
      <c r="EF52" s="43" t="s">
        <v>28</v>
      </c>
      <c r="EG52" s="140">
        <v>6450</v>
      </c>
      <c r="EH52" s="140">
        <v>4201</v>
      </c>
      <c r="EI52" s="140">
        <v>12461</v>
      </c>
      <c r="EK52" s="43" t="s">
        <v>28</v>
      </c>
      <c r="EL52" s="140">
        <v>5295</v>
      </c>
      <c r="EM52" s="140">
        <v>5025</v>
      </c>
      <c r="EN52" s="140">
        <v>15394</v>
      </c>
      <c r="EP52" s="43" t="s">
        <v>28</v>
      </c>
      <c r="EQ52" s="140">
        <v>3628</v>
      </c>
      <c r="ER52" s="140">
        <v>2558</v>
      </c>
      <c r="ES52" s="140">
        <v>9904</v>
      </c>
      <c r="EU52" s="43" t="s">
        <v>28</v>
      </c>
      <c r="EV52" s="140">
        <v>2135</v>
      </c>
      <c r="EW52" s="140">
        <v>1808</v>
      </c>
      <c r="EX52" s="140">
        <v>9929</v>
      </c>
      <c r="EZ52" s="43" t="s">
        <v>28</v>
      </c>
      <c r="FA52" s="140">
        <v>5914</v>
      </c>
      <c r="FB52" s="140">
        <v>4533</v>
      </c>
      <c r="FC52" s="140">
        <v>12514</v>
      </c>
      <c r="FE52" s="43" t="s">
        <v>28</v>
      </c>
      <c r="FF52" s="140">
        <v>903</v>
      </c>
      <c r="FG52" s="140">
        <v>459</v>
      </c>
      <c r="FH52" s="140">
        <v>1958</v>
      </c>
      <c r="FJ52" s="43" t="s">
        <v>28</v>
      </c>
      <c r="FK52" s="140">
        <v>121</v>
      </c>
      <c r="FL52" s="140">
        <v>106</v>
      </c>
      <c r="FM52" s="140">
        <v>547</v>
      </c>
    </row>
    <row r="53" spans="1:169" ht="15">
      <c r="A53" s="43" t="s">
        <v>29</v>
      </c>
      <c r="B53" s="142">
        <v>188466</v>
      </c>
      <c r="C53" s="118">
        <v>136630</v>
      </c>
      <c r="D53" s="143">
        <v>239630</v>
      </c>
      <c r="F53" s="43" t="s">
        <v>29</v>
      </c>
      <c r="G53" s="41">
        <v>655358</v>
      </c>
      <c r="H53" s="118">
        <v>466881</v>
      </c>
      <c r="I53" s="41">
        <v>849043</v>
      </c>
      <c r="K53" s="43" t="s">
        <v>29</v>
      </c>
      <c r="L53" s="120">
        <v>324585</v>
      </c>
      <c r="M53" s="120">
        <v>209360</v>
      </c>
      <c r="N53" s="120">
        <v>344247</v>
      </c>
      <c r="P53" s="43" t="s">
        <v>29</v>
      </c>
      <c r="Q53" s="41">
        <v>6393</v>
      </c>
      <c r="R53" s="118">
        <v>5669</v>
      </c>
      <c r="S53" s="41">
        <v>12677</v>
      </c>
      <c r="T53" s="6"/>
      <c r="U53" s="43" t="s">
        <v>29</v>
      </c>
      <c r="V53" s="41">
        <v>1134</v>
      </c>
      <c r="W53" s="118">
        <v>717.5</v>
      </c>
      <c r="X53" s="41">
        <v>1632.3999999999999</v>
      </c>
      <c r="Z53" s="43" t="s">
        <v>29</v>
      </c>
      <c r="AA53" s="41">
        <v>1819</v>
      </c>
      <c r="AB53" s="118">
        <v>1290</v>
      </c>
      <c r="AC53" s="41">
        <v>3005</v>
      </c>
      <c r="AE53" s="43" t="s">
        <v>29</v>
      </c>
      <c r="AF53" s="41">
        <v>846</v>
      </c>
      <c r="AG53" s="118">
        <v>845</v>
      </c>
      <c r="AH53" s="41">
        <v>1977</v>
      </c>
      <c r="AJ53" s="43" t="s">
        <v>29</v>
      </c>
      <c r="AK53" s="41">
        <v>232</v>
      </c>
      <c r="AL53" s="118">
        <v>1352</v>
      </c>
      <c r="AM53" s="41">
        <v>4900</v>
      </c>
      <c r="AO53" s="43" t="s">
        <v>29</v>
      </c>
      <c r="AP53" s="41">
        <v>458</v>
      </c>
      <c r="AQ53" s="118">
        <v>3222</v>
      </c>
      <c r="AR53" s="41">
        <v>12997</v>
      </c>
      <c r="AT53" s="43" t="s">
        <v>29</v>
      </c>
      <c r="AU53" s="41">
        <v>569</v>
      </c>
      <c r="AV53" s="118">
        <v>1616</v>
      </c>
      <c r="AW53" s="41">
        <v>5468</v>
      </c>
      <c r="AY53" s="43" t="s">
        <v>29</v>
      </c>
      <c r="AZ53" s="41">
        <v>214</v>
      </c>
      <c r="BA53" s="118">
        <v>2900</v>
      </c>
      <c r="BB53" s="41">
        <v>12339</v>
      </c>
      <c r="BD53" s="43" t="s">
        <v>29</v>
      </c>
      <c r="BE53" s="41">
        <v>987</v>
      </c>
      <c r="BF53" s="118">
        <v>643</v>
      </c>
      <c r="BG53" s="41">
        <v>1107</v>
      </c>
      <c r="BI53" s="43" t="s">
        <v>29</v>
      </c>
      <c r="BJ53" s="41">
        <v>8327</v>
      </c>
      <c r="BK53" s="118">
        <v>5243</v>
      </c>
      <c r="BL53" s="41">
        <v>10578</v>
      </c>
      <c r="BN53" s="43" t="s">
        <v>29</v>
      </c>
      <c r="BO53" s="41">
        <v>1808</v>
      </c>
      <c r="BP53" s="118">
        <v>504</v>
      </c>
      <c r="BQ53" s="41">
        <v>859</v>
      </c>
      <c r="BS53" s="43" t="s">
        <v>29</v>
      </c>
      <c r="BT53" s="41">
        <v>506</v>
      </c>
      <c r="BU53" s="118">
        <v>414</v>
      </c>
      <c r="BV53" s="41">
        <v>790</v>
      </c>
      <c r="BX53" s="43" t="s">
        <v>29</v>
      </c>
      <c r="BY53" s="41">
        <f>18629</f>
        <v>18629</v>
      </c>
      <c r="BZ53" s="118">
        <f>20808</f>
        <v>20808</v>
      </c>
      <c r="CA53" s="41">
        <f>67978</f>
        <v>67978</v>
      </c>
      <c r="CB53" s="30"/>
      <c r="CC53" s="43" t="s">
        <v>29</v>
      </c>
      <c r="CD53" s="41">
        <f>799</f>
        <v>799</v>
      </c>
      <c r="CE53" s="118">
        <f>2464</f>
        <v>2464</v>
      </c>
      <c r="CF53" s="41">
        <f>9056</f>
        <v>9056</v>
      </c>
      <c r="CG53" s="30"/>
      <c r="CH53" s="43" t="s">
        <v>29</v>
      </c>
      <c r="CI53" s="41">
        <v>261</v>
      </c>
      <c r="CJ53" s="118">
        <v>627</v>
      </c>
      <c r="CK53" s="41">
        <v>210</v>
      </c>
      <c r="CL53" s="30"/>
      <c r="CM53" s="43" t="s">
        <v>29</v>
      </c>
      <c r="CN53" s="41">
        <v>42</v>
      </c>
      <c r="CO53" s="118">
        <v>32</v>
      </c>
      <c r="CP53" s="41">
        <v>60</v>
      </c>
      <c r="CR53" s="43" t="s">
        <v>29</v>
      </c>
      <c r="CS53" s="140">
        <v>145</v>
      </c>
      <c r="CT53" s="141">
        <v>78</v>
      </c>
      <c r="CU53" s="140">
        <v>139</v>
      </c>
      <c r="CW53" s="43" t="s">
        <v>29</v>
      </c>
      <c r="CX53" s="140">
        <v>76</v>
      </c>
      <c r="CY53" s="141">
        <v>59</v>
      </c>
      <c r="CZ53" s="140">
        <v>107</v>
      </c>
      <c r="DB53" s="43" t="s">
        <v>29</v>
      </c>
      <c r="DC53" s="140">
        <v>2226</v>
      </c>
      <c r="DD53" s="141">
        <v>1673</v>
      </c>
      <c r="DE53" s="140">
        <v>3147</v>
      </c>
      <c r="DG53" s="43" t="s">
        <v>29</v>
      </c>
      <c r="DH53" s="140">
        <v>251</v>
      </c>
      <c r="DI53" s="141">
        <v>901</v>
      </c>
      <c r="DJ53" s="140">
        <v>4239</v>
      </c>
      <c r="DL53" s="43" t="s">
        <v>29</v>
      </c>
      <c r="DM53" s="140">
        <v>42</v>
      </c>
      <c r="DN53" s="141">
        <v>34</v>
      </c>
      <c r="DO53" s="140">
        <v>84</v>
      </c>
      <c r="DQ53" s="43" t="s">
        <v>29</v>
      </c>
      <c r="DR53" s="140">
        <v>19039</v>
      </c>
      <c r="DS53" s="141">
        <v>20790</v>
      </c>
      <c r="DT53" s="140">
        <v>35157</v>
      </c>
      <c r="DV53" s="43" t="s">
        <v>29</v>
      </c>
      <c r="DW53" s="140">
        <v>54526</v>
      </c>
      <c r="DX53" s="141">
        <v>42596</v>
      </c>
      <c r="DY53" s="140">
        <v>74106</v>
      </c>
      <c r="EA53" s="43" t="s">
        <v>29</v>
      </c>
      <c r="EB53" s="140">
        <v>3262</v>
      </c>
      <c r="EC53" s="141">
        <v>3757</v>
      </c>
      <c r="ED53" s="140">
        <v>10726</v>
      </c>
      <c r="EF53" s="43" t="s">
        <v>29</v>
      </c>
      <c r="EG53" s="140">
        <v>8097</v>
      </c>
      <c r="EH53" s="141">
        <v>4450</v>
      </c>
      <c r="EI53" s="140">
        <v>12092</v>
      </c>
      <c r="EK53" s="43" t="s">
        <v>29</v>
      </c>
      <c r="EL53" s="140">
        <v>4780</v>
      </c>
      <c r="EM53" s="141">
        <v>5064</v>
      </c>
      <c r="EN53" s="140">
        <v>14914</v>
      </c>
      <c r="EP53" s="43" t="s">
        <v>29</v>
      </c>
      <c r="EQ53" s="140">
        <v>1892</v>
      </c>
      <c r="ER53" s="141">
        <v>2026</v>
      </c>
      <c r="ES53" s="140">
        <v>8151</v>
      </c>
      <c r="EU53" s="43" t="s">
        <v>29</v>
      </c>
      <c r="EV53" s="140">
        <v>2162</v>
      </c>
      <c r="EW53" s="141">
        <v>1682</v>
      </c>
      <c r="EX53" s="140">
        <v>9708</v>
      </c>
      <c r="EZ53" s="43" t="s">
        <v>29</v>
      </c>
      <c r="FA53" s="140">
        <v>4179</v>
      </c>
      <c r="FB53" s="141">
        <v>4579</v>
      </c>
      <c r="FC53" s="140">
        <v>11150</v>
      </c>
      <c r="FE53" s="43" t="s">
        <v>29</v>
      </c>
      <c r="FF53" s="140">
        <v>627</v>
      </c>
      <c r="FG53" s="141">
        <v>304</v>
      </c>
      <c r="FH53" s="140">
        <v>1220</v>
      </c>
      <c r="FJ53" s="43" t="s">
        <v>29</v>
      </c>
      <c r="FK53" s="140">
        <v>54</v>
      </c>
      <c r="FL53" s="141">
        <v>45</v>
      </c>
      <c r="FM53" s="140">
        <v>264</v>
      </c>
    </row>
    <row r="54" spans="1:169" ht="15">
      <c r="A54" s="43" t="s">
        <v>30</v>
      </c>
      <c r="B54" s="142">
        <v>226876</v>
      </c>
      <c r="C54" s="118">
        <v>152214</v>
      </c>
      <c r="D54" s="143">
        <v>249074</v>
      </c>
      <c r="F54" s="43" t="s">
        <v>30</v>
      </c>
      <c r="G54" s="41">
        <v>700770</v>
      </c>
      <c r="H54" s="118">
        <v>463850</v>
      </c>
      <c r="I54" s="41">
        <v>803788</v>
      </c>
      <c r="K54" s="43" t="s">
        <v>30</v>
      </c>
      <c r="L54" s="120">
        <v>424689</v>
      </c>
      <c r="M54" s="120">
        <v>236003</v>
      </c>
      <c r="N54" s="120">
        <v>378855</v>
      </c>
      <c r="P54" s="43" t="s">
        <v>30</v>
      </c>
      <c r="Q54" s="41">
        <v>7779</v>
      </c>
      <c r="R54" s="118">
        <v>5855</v>
      </c>
      <c r="S54" s="41">
        <v>13642</v>
      </c>
      <c r="T54" s="6"/>
      <c r="U54" s="43" t="s">
        <v>30</v>
      </c>
      <c r="V54" s="41">
        <v>1001.6999999999999</v>
      </c>
      <c r="W54" s="118">
        <v>667.09999999999991</v>
      </c>
      <c r="X54" s="41">
        <v>1570.1</v>
      </c>
      <c r="Z54" s="43" t="s">
        <v>30</v>
      </c>
      <c r="AA54" s="41">
        <v>2042</v>
      </c>
      <c r="AB54" s="118">
        <v>1391</v>
      </c>
      <c r="AC54" s="41">
        <v>3119</v>
      </c>
      <c r="AE54" s="43" t="s">
        <v>30</v>
      </c>
      <c r="AF54" s="41">
        <v>956</v>
      </c>
      <c r="AG54" s="118">
        <v>757</v>
      </c>
      <c r="AH54" s="41">
        <v>1684</v>
      </c>
      <c r="AJ54" s="43" t="s">
        <v>30</v>
      </c>
      <c r="AK54" s="41">
        <v>313</v>
      </c>
      <c r="AL54" s="118">
        <v>1188</v>
      </c>
      <c r="AM54" s="41">
        <v>4619</v>
      </c>
      <c r="AO54" s="43" t="s">
        <v>30</v>
      </c>
      <c r="AP54" s="41">
        <v>421</v>
      </c>
      <c r="AQ54" s="118">
        <v>2519</v>
      </c>
      <c r="AR54" s="41">
        <v>11482</v>
      </c>
      <c r="AT54" s="43" t="s">
        <v>30</v>
      </c>
      <c r="AU54" s="41">
        <v>688</v>
      </c>
      <c r="AV54" s="118">
        <v>1417</v>
      </c>
      <c r="AW54" s="41">
        <v>4982</v>
      </c>
      <c r="AY54" s="43" t="s">
        <v>30</v>
      </c>
      <c r="AZ54" s="41">
        <v>200</v>
      </c>
      <c r="BA54" s="118">
        <v>2258</v>
      </c>
      <c r="BB54" s="41">
        <v>11000</v>
      </c>
      <c r="BD54" s="43" t="s">
        <v>30</v>
      </c>
      <c r="BE54" s="41">
        <v>1289</v>
      </c>
      <c r="BF54" s="118">
        <v>894</v>
      </c>
      <c r="BG54" s="41">
        <v>1427</v>
      </c>
      <c r="BI54" s="43" t="s">
        <v>30</v>
      </c>
      <c r="BJ54" s="41">
        <v>11041</v>
      </c>
      <c r="BK54" s="118">
        <v>5533</v>
      </c>
      <c r="BL54" s="41">
        <v>10739</v>
      </c>
      <c r="BN54" s="43" t="s">
        <v>30</v>
      </c>
      <c r="BO54" s="41">
        <v>3787</v>
      </c>
      <c r="BP54" s="118">
        <v>1335</v>
      </c>
      <c r="BQ54" s="41">
        <v>2110</v>
      </c>
      <c r="BS54" s="43" t="s">
        <v>30</v>
      </c>
      <c r="BT54" s="41">
        <v>471</v>
      </c>
      <c r="BU54" s="118">
        <v>345</v>
      </c>
      <c r="BV54" s="41">
        <v>652</v>
      </c>
      <c r="BX54" s="43" t="s">
        <v>30</v>
      </c>
      <c r="BY54" s="41">
        <f>41294</f>
        <v>41294</v>
      </c>
      <c r="BZ54" s="118">
        <f>23502</f>
        <v>23502</v>
      </c>
      <c r="CA54" s="41">
        <f>67559</f>
        <v>67559</v>
      </c>
      <c r="CB54" s="30"/>
      <c r="CC54" s="43" t="s">
        <v>30</v>
      </c>
      <c r="CD54" s="41">
        <f>757</f>
        <v>757</v>
      </c>
      <c r="CE54" s="118">
        <f>2109</f>
        <v>2109</v>
      </c>
      <c r="CF54" s="41">
        <f>7773</f>
        <v>7773</v>
      </c>
      <c r="CG54" s="30"/>
      <c r="CH54" s="43" t="s">
        <v>30</v>
      </c>
      <c r="CI54" s="41">
        <v>237</v>
      </c>
      <c r="CJ54" s="118">
        <v>690</v>
      </c>
      <c r="CK54" s="41">
        <v>250</v>
      </c>
      <c r="CL54" s="30"/>
      <c r="CM54" s="43" t="s">
        <v>30</v>
      </c>
      <c r="CN54" s="41">
        <v>45</v>
      </c>
      <c r="CO54" s="118">
        <v>31</v>
      </c>
      <c r="CP54" s="41">
        <v>59</v>
      </c>
      <c r="CR54" s="43" t="s">
        <v>30</v>
      </c>
      <c r="CS54" s="140">
        <v>157</v>
      </c>
      <c r="CT54" s="141">
        <v>65</v>
      </c>
      <c r="CU54" s="140">
        <v>151</v>
      </c>
      <c r="CW54" s="43" t="s">
        <v>30</v>
      </c>
      <c r="CX54" s="140">
        <v>80</v>
      </c>
      <c r="CY54" s="141">
        <v>59</v>
      </c>
      <c r="CZ54" s="140">
        <v>108</v>
      </c>
      <c r="DB54" s="43" t="s">
        <v>30</v>
      </c>
      <c r="DC54" s="140">
        <v>2134</v>
      </c>
      <c r="DD54" s="141">
        <v>1508</v>
      </c>
      <c r="DE54" s="140">
        <v>3158</v>
      </c>
      <c r="DG54" s="43" t="s">
        <v>30</v>
      </c>
      <c r="DH54" s="140">
        <v>250</v>
      </c>
      <c r="DI54" s="141">
        <v>704</v>
      </c>
      <c r="DJ54" s="140">
        <v>3766</v>
      </c>
      <c r="DL54" s="43" t="s">
        <v>30</v>
      </c>
      <c r="DM54" s="140">
        <v>39</v>
      </c>
      <c r="DN54" s="141">
        <v>29</v>
      </c>
      <c r="DO54" s="140">
        <v>75</v>
      </c>
      <c r="DQ54" s="43" t="s">
        <v>30</v>
      </c>
      <c r="DR54" s="140">
        <v>28743</v>
      </c>
      <c r="DS54" s="141">
        <v>24369</v>
      </c>
      <c r="DT54" s="140">
        <v>43319</v>
      </c>
      <c r="DV54" s="43" t="s">
        <v>30</v>
      </c>
      <c r="DW54" s="140">
        <v>59959</v>
      </c>
      <c r="DX54" s="141">
        <v>44557</v>
      </c>
      <c r="DY54" s="140">
        <v>73734</v>
      </c>
      <c r="EA54" s="43" t="s">
        <v>30</v>
      </c>
      <c r="EB54" s="140">
        <v>4631</v>
      </c>
      <c r="EC54" s="141">
        <v>3576</v>
      </c>
      <c r="ED54" s="140">
        <v>9906</v>
      </c>
      <c r="EF54" s="43" t="s">
        <v>30</v>
      </c>
      <c r="EG54" s="140">
        <v>14002</v>
      </c>
      <c r="EH54" s="141">
        <v>4798</v>
      </c>
      <c r="EI54" s="140">
        <v>11849</v>
      </c>
      <c r="EK54" s="43" t="s">
        <v>30</v>
      </c>
      <c r="EL54" s="140">
        <v>4857</v>
      </c>
      <c r="EM54" s="141">
        <v>4484</v>
      </c>
      <c r="EN54" s="140">
        <v>13753</v>
      </c>
      <c r="EP54" s="43" t="s">
        <v>30</v>
      </c>
      <c r="EQ54" s="140">
        <v>1876</v>
      </c>
      <c r="ER54" s="141">
        <v>1762</v>
      </c>
      <c r="ES54" s="140">
        <v>7832</v>
      </c>
      <c r="EU54" s="43" t="s">
        <v>30</v>
      </c>
      <c r="EV54" s="140">
        <v>2078</v>
      </c>
      <c r="EW54" s="141">
        <v>1404</v>
      </c>
      <c r="EX54" s="140">
        <v>9226</v>
      </c>
      <c r="EZ54" s="43" t="s">
        <v>30</v>
      </c>
      <c r="FA54" s="140">
        <v>4381</v>
      </c>
      <c r="FB54" s="141">
        <v>4150</v>
      </c>
      <c r="FC54" s="140">
        <v>10266</v>
      </c>
      <c r="FE54" s="43" t="s">
        <v>30</v>
      </c>
      <c r="FF54" s="140">
        <v>740</v>
      </c>
      <c r="FG54" s="141">
        <v>266</v>
      </c>
      <c r="FH54" s="140">
        <v>1165</v>
      </c>
      <c r="FJ54" s="43" t="s">
        <v>30</v>
      </c>
      <c r="FK54" s="140">
        <v>58</v>
      </c>
      <c r="FL54" s="141">
        <v>43</v>
      </c>
      <c r="FM54" s="140">
        <v>257</v>
      </c>
    </row>
    <row r="55" spans="1:169" ht="15">
      <c r="A55" s="43" t="s">
        <v>31</v>
      </c>
      <c r="B55" s="117">
        <v>302388</v>
      </c>
      <c r="C55" s="118">
        <v>182550</v>
      </c>
      <c r="D55" s="119">
        <v>281036</v>
      </c>
      <c r="F55" s="43" t="s">
        <v>31</v>
      </c>
      <c r="G55" s="41">
        <v>1030558</v>
      </c>
      <c r="H55" s="118">
        <v>648160</v>
      </c>
      <c r="I55" s="41">
        <v>1035961</v>
      </c>
      <c r="K55" s="43" t="s">
        <v>31</v>
      </c>
      <c r="L55" s="41">
        <v>539996</v>
      </c>
      <c r="M55" s="118">
        <v>280641</v>
      </c>
      <c r="N55" s="41">
        <v>449756</v>
      </c>
      <c r="P55" s="43" t="s">
        <v>31</v>
      </c>
      <c r="Q55" s="41">
        <v>14039</v>
      </c>
      <c r="R55" s="118">
        <v>10814</v>
      </c>
      <c r="S55" s="41">
        <v>24896</v>
      </c>
      <c r="T55" s="6"/>
      <c r="U55" s="43" t="s">
        <v>31</v>
      </c>
      <c r="V55" s="41">
        <v>993.3</v>
      </c>
      <c r="W55" s="118">
        <v>709.09999999999991</v>
      </c>
      <c r="X55" s="41">
        <v>1580.6</v>
      </c>
      <c r="Z55" s="43" t="s">
        <v>31</v>
      </c>
      <c r="AA55" s="41">
        <v>2192</v>
      </c>
      <c r="AB55" s="118">
        <v>1455</v>
      </c>
      <c r="AC55" s="41">
        <v>3170</v>
      </c>
      <c r="AE55" s="43" t="s">
        <v>31</v>
      </c>
      <c r="AF55" s="41">
        <v>1118</v>
      </c>
      <c r="AG55" s="118">
        <v>787</v>
      </c>
      <c r="AH55" s="41">
        <v>1643</v>
      </c>
      <c r="AJ55" s="43" t="s">
        <v>31</v>
      </c>
      <c r="AK55" s="41">
        <v>439</v>
      </c>
      <c r="AL55" s="118">
        <v>1337</v>
      </c>
      <c r="AM55" s="41">
        <v>4791</v>
      </c>
      <c r="AO55" s="43" t="s">
        <v>31</v>
      </c>
      <c r="AP55" s="41">
        <v>572</v>
      </c>
      <c r="AQ55" s="118">
        <v>2733</v>
      </c>
      <c r="AR55" s="41">
        <v>11489</v>
      </c>
      <c r="AT55" s="43" t="s">
        <v>31</v>
      </c>
      <c r="AU55" s="41">
        <v>910</v>
      </c>
      <c r="AV55" s="118">
        <v>1654</v>
      </c>
      <c r="AW55" s="41">
        <v>5269</v>
      </c>
      <c r="AY55" s="43" t="s">
        <v>31</v>
      </c>
      <c r="AZ55" s="41">
        <v>206</v>
      </c>
      <c r="BA55" s="118">
        <v>2499</v>
      </c>
      <c r="BB55" s="41">
        <v>11375</v>
      </c>
      <c r="BD55" s="43" t="s">
        <v>31</v>
      </c>
      <c r="BE55" s="41">
        <v>2594</v>
      </c>
      <c r="BF55" s="118">
        <v>1416</v>
      </c>
      <c r="BG55" s="41">
        <v>2245</v>
      </c>
      <c r="BI55" s="43" t="s">
        <v>31</v>
      </c>
      <c r="BJ55" s="41">
        <v>16018</v>
      </c>
      <c r="BK55" s="118">
        <v>7017</v>
      </c>
      <c r="BL55" s="41">
        <v>12366</v>
      </c>
      <c r="BN55" s="43" t="s">
        <v>31</v>
      </c>
      <c r="BO55" s="41">
        <v>3472</v>
      </c>
      <c r="BP55" s="118">
        <v>812</v>
      </c>
      <c r="BQ55" s="41">
        <v>2072</v>
      </c>
      <c r="BS55" s="43" t="s">
        <v>31</v>
      </c>
      <c r="BT55" s="41">
        <v>515</v>
      </c>
      <c r="BU55" s="118">
        <v>364</v>
      </c>
      <c r="BV55" s="41">
        <v>636</v>
      </c>
      <c r="BX55" s="43" t="s">
        <v>31</v>
      </c>
      <c r="BY55" s="41">
        <f>69625</f>
        <v>69625</v>
      </c>
      <c r="BZ55" s="118">
        <f>28884</f>
        <v>28884</v>
      </c>
      <c r="CA55" s="41">
        <f>72090</f>
        <v>72090</v>
      </c>
      <c r="CB55" s="30"/>
      <c r="CC55" s="43" t="s">
        <v>31</v>
      </c>
      <c r="CD55" s="41">
        <f>852</f>
        <v>852</v>
      </c>
      <c r="CE55" s="118">
        <f>2159</f>
        <v>2159</v>
      </c>
      <c r="CF55" s="41">
        <f>7774</f>
        <v>7774</v>
      </c>
      <c r="CG55" s="30"/>
      <c r="CH55" s="43" t="s">
        <v>31</v>
      </c>
      <c r="CI55" s="41">
        <v>311</v>
      </c>
      <c r="CJ55" s="118">
        <v>665</v>
      </c>
      <c r="CK55" s="41">
        <v>219</v>
      </c>
      <c r="CL55" s="30"/>
      <c r="CM55" s="43" t="s">
        <v>31</v>
      </c>
      <c r="CN55" s="41">
        <v>48</v>
      </c>
      <c r="CO55" s="118">
        <v>32</v>
      </c>
      <c r="CP55" s="41">
        <v>57</v>
      </c>
      <c r="CR55" s="43" t="s">
        <v>31</v>
      </c>
      <c r="CS55" s="41">
        <v>160</v>
      </c>
      <c r="CT55" s="118">
        <v>79</v>
      </c>
      <c r="CU55" s="41">
        <v>157</v>
      </c>
      <c r="CW55" s="43" t="s">
        <v>31</v>
      </c>
      <c r="CX55" s="41">
        <v>74</v>
      </c>
      <c r="CY55" s="118">
        <v>60</v>
      </c>
      <c r="CZ55" s="41">
        <v>110</v>
      </c>
      <c r="DB55" s="43" t="s">
        <v>31</v>
      </c>
      <c r="DC55" s="41">
        <v>2089</v>
      </c>
      <c r="DD55" s="118">
        <v>1559</v>
      </c>
      <c r="DE55" s="41">
        <v>3047</v>
      </c>
      <c r="DG55" s="43" t="s">
        <v>31</v>
      </c>
      <c r="DH55" s="41">
        <v>271</v>
      </c>
      <c r="DI55" s="118">
        <v>790</v>
      </c>
      <c r="DJ55" s="41">
        <v>3914</v>
      </c>
      <c r="DL55" s="43" t="s">
        <v>31</v>
      </c>
      <c r="DM55" s="41">
        <v>61</v>
      </c>
      <c r="DN55" s="118">
        <v>40</v>
      </c>
      <c r="DO55" s="41">
        <v>77</v>
      </c>
      <c r="DQ55" s="43" t="s">
        <v>31</v>
      </c>
      <c r="DR55" s="41">
        <v>21590</v>
      </c>
      <c r="DS55" s="118">
        <v>16488</v>
      </c>
      <c r="DT55" s="41">
        <v>33630</v>
      </c>
      <c r="DV55" s="43" t="s">
        <v>31</v>
      </c>
      <c r="DW55" s="41">
        <v>84381</v>
      </c>
      <c r="DX55" s="118">
        <v>57976</v>
      </c>
      <c r="DY55" s="41">
        <v>89113</v>
      </c>
      <c r="EA55" s="43" t="s">
        <v>31</v>
      </c>
      <c r="EB55" s="41">
        <v>6926</v>
      </c>
      <c r="EC55" s="118">
        <v>4505</v>
      </c>
      <c r="ED55" s="41">
        <v>11046</v>
      </c>
      <c r="EF55" s="43" t="s">
        <v>31</v>
      </c>
      <c r="EG55" s="41">
        <v>18023</v>
      </c>
      <c r="EH55" s="118">
        <v>5575</v>
      </c>
      <c r="EI55" s="41">
        <v>12464</v>
      </c>
      <c r="EK55" s="43" t="s">
        <v>31</v>
      </c>
      <c r="EL55" s="41">
        <v>5155</v>
      </c>
      <c r="EM55" s="118">
        <v>4710</v>
      </c>
      <c r="EN55" s="41">
        <v>13835</v>
      </c>
      <c r="EP55" s="43" t="s">
        <v>31</v>
      </c>
      <c r="EQ55" s="41">
        <v>2041</v>
      </c>
      <c r="ER55" s="118">
        <v>1953</v>
      </c>
      <c r="ES55" s="41">
        <v>8150</v>
      </c>
      <c r="EU55" s="43" t="s">
        <v>31</v>
      </c>
      <c r="EV55" s="41">
        <v>2166</v>
      </c>
      <c r="EW55" s="118">
        <v>1536</v>
      </c>
      <c r="EX55" s="41">
        <v>9734</v>
      </c>
      <c r="EZ55" s="43" t="s">
        <v>31</v>
      </c>
      <c r="FA55" s="41">
        <v>4655</v>
      </c>
      <c r="FB55" s="118">
        <v>4345</v>
      </c>
      <c r="FC55" s="41">
        <v>10177</v>
      </c>
      <c r="FE55" s="43" t="s">
        <v>31</v>
      </c>
      <c r="FF55" s="41">
        <v>856</v>
      </c>
      <c r="FG55" s="118">
        <v>341</v>
      </c>
      <c r="FH55" s="41">
        <v>1228</v>
      </c>
      <c r="FJ55" s="43" t="s">
        <v>31</v>
      </c>
      <c r="FK55" s="41">
        <v>65</v>
      </c>
      <c r="FL55" s="118">
        <v>45</v>
      </c>
      <c r="FM55" s="41">
        <v>278</v>
      </c>
    </row>
    <row r="56" spans="1:169" ht="15">
      <c r="A56" s="43" t="s">
        <v>32</v>
      </c>
      <c r="B56" s="117">
        <v>259822</v>
      </c>
      <c r="C56" s="118">
        <v>163302</v>
      </c>
      <c r="D56" s="119">
        <v>289540</v>
      </c>
      <c r="F56" s="43" t="s">
        <v>32</v>
      </c>
      <c r="G56" s="41">
        <v>804820</v>
      </c>
      <c r="H56" s="118">
        <v>549168</v>
      </c>
      <c r="I56" s="41">
        <v>997754</v>
      </c>
      <c r="K56" s="43" t="s">
        <v>32</v>
      </c>
      <c r="L56" s="41">
        <v>447018</v>
      </c>
      <c r="M56" s="118">
        <v>248339</v>
      </c>
      <c r="N56" s="41">
        <v>471467</v>
      </c>
      <c r="P56" s="43" t="s">
        <v>32</v>
      </c>
      <c r="Q56" s="41">
        <v>9913</v>
      </c>
      <c r="R56" s="118">
        <v>8762</v>
      </c>
      <c r="S56" s="41">
        <v>22893</v>
      </c>
      <c r="T56" s="6"/>
      <c r="U56" s="43" t="s">
        <v>32</v>
      </c>
      <c r="V56" s="41">
        <v>939.4</v>
      </c>
      <c r="W56" s="118">
        <v>646.79999999999995</v>
      </c>
      <c r="X56" s="41">
        <v>1504.3</v>
      </c>
      <c r="Z56" s="43" t="s">
        <v>32</v>
      </c>
      <c r="AA56" s="41">
        <v>1727</v>
      </c>
      <c r="AB56" s="118">
        <v>1220</v>
      </c>
      <c r="AC56" s="41">
        <v>2854</v>
      </c>
      <c r="AE56" s="43" t="s">
        <v>32</v>
      </c>
      <c r="AF56" s="41">
        <v>946</v>
      </c>
      <c r="AG56" s="118">
        <v>775</v>
      </c>
      <c r="AH56" s="41">
        <v>1798</v>
      </c>
      <c r="AJ56" s="43" t="s">
        <v>32</v>
      </c>
      <c r="AK56" s="41">
        <v>311</v>
      </c>
      <c r="AL56" s="118">
        <v>1572</v>
      </c>
      <c r="AM56" s="41">
        <v>5224</v>
      </c>
      <c r="AO56" s="43" t="s">
        <v>32</v>
      </c>
      <c r="AP56" s="41">
        <v>327</v>
      </c>
      <c r="AQ56" s="118">
        <v>3368</v>
      </c>
      <c r="AR56" s="41">
        <v>12802</v>
      </c>
      <c r="AT56" s="43" t="s">
        <v>32</v>
      </c>
      <c r="AU56" s="41">
        <v>727</v>
      </c>
      <c r="AV56" s="118">
        <v>1831</v>
      </c>
      <c r="AW56" s="41">
        <v>5668</v>
      </c>
      <c r="AY56" s="43" t="s">
        <v>32</v>
      </c>
      <c r="AZ56" s="41">
        <v>167</v>
      </c>
      <c r="BA56" s="118">
        <v>3236</v>
      </c>
      <c r="BB56" s="41">
        <v>12593</v>
      </c>
      <c r="BD56" s="43" t="s">
        <v>32</v>
      </c>
      <c r="BE56" s="41">
        <v>1257</v>
      </c>
      <c r="BF56" s="118">
        <v>840</v>
      </c>
      <c r="BG56" s="41">
        <v>1605</v>
      </c>
      <c r="BI56" s="43" t="s">
        <v>32</v>
      </c>
      <c r="BJ56" s="41">
        <v>9630</v>
      </c>
      <c r="BK56" s="118">
        <v>5786</v>
      </c>
      <c r="BL56" s="41">
        <v>11933</v>
      </c>
      <c r="BN56" s="43" t="s">
        <v>32</v>
      </c>
      <c r="BO56" s="41">
        <v>3910</v>
      </c>
      <c r="BP56" s="118">
        <v>2441</v>
      </c>
      <c r="BQ56" s="41">
        <v>3765</v>
      </c>
      <c r="BS56" s="43" t="s">
        <v>32</v>
      </c>
      <c r="BT56" s="41">
        <v>652</v>
      </c>
      <c r="BU56" s="118">
        <v>469</v>
      </c>
      <c r="BV56" s="41">
        <v>881</v>
      </c>
      <c r="BX56" s="43" t="s">
        <v>32</v>
      </c>
      <c r="BY56" s="41">
        <f>49787</f>
        <v>49787</v>
      </c>
      <c r="BZ56" s="118">
        <f>25711</f>
        <v>25711</v>
      </c>
      <c r="CA56" s="41">
        <f>72357</f>
        <v>72357</v>
      </c>
      <c r="CB56" s="30"/>
      <c r="CC56" s="43" t="s">
        <v>32</v>
      </c>
      <c r="CD56" s="41">
        <f>553</f>
        <v>553</v>
      </c>
      <c r="CE56" s="118">
        <f>2170</f>
        <v>2170</v>
      </c>
      <c r="CF56" s="41">
        <f>8234</f>
        <v>8234</v>
      </c>
      <c r="CG56" s="30"/>
      <c r="CH56" s="43" t="s">
        <v>32</v>
      </c>
      <c r="CI56" s="41">
        <v>329</v>
      </c>
      <c r="CJ56" s="118">
        <v>389</v>
      </c>
      <c r="CK56" s="41">
        <v>147</v>
      </c>
      <c r="CL56" s="30"/>
      <c r="CM56" s="43" t="s">
        <v>32</v>
      </c>
      <c r="CN56" s="41">
        <v>44</v>
      </c>
      <c r="CO56" s="118">
        <v>31</v>
      </c>
      <c r="CP56" s="41">
        <v>63</v>
      </c>
      <c r="CR56" s="43" t="s">
        <v>32</v>
      </c>
      <c r="CS56" s="41">
        <v>117</v>
      </c>
      <c r="CT56" s="118">
        <v>68</v>
      </c>
      <c r="CU56" s="41">
        <v>117</v>
      </c>
      <c r="CW56" s="43" t="s">
        <v>32</v>
      </c>
      <c r="CX56" s="41">
        <v>78</v>
      </c>
      <c r="CY56" s="118">
        <v>52</v>
      </c>
      <c r="CZ56" s="41">
        <v>104</v>
      </c>
      <c r="DB56" s="43" t="s">
        <v>32</v>
      </c>
      <c r="DC56" s="41">
        <v>2003</v>
      </c>
      <c r="DD56" s="118">
        <v>1687</v>
      </c>
      <c r="DE56" s="41">
        <v>3084</v>
      </c>
      <c r="DG56" s="43" t="s">
        <v>32</v>
      </c>
      <c r="DH56" s="41">
        <v>273</v>
      </c>
      <c r="DI56" s="118">
        <v>1021</v>
      </c>
      <c r="DJ56" s="41">
        <v>4313</v>
      </c>
      <c r="DL56" s="43" t="s">
        <v>32</v>
      </c>
      <c r="DM56" s="41">
        <v>47</v>
      </c>
      <c r="DN56" s="118">
        <v>33</v>
      </c>
      <c r="DO56" s="41">
        <v>86</v>
      </c>
      <c r="DQ56" s="43" t="s">
        <v>32</v>
      </c>
      <c r="DR56" s="41">
        <v>12540</v>
      </c>
      <c r="DS56" s="118">
        <v>9639</v>
      </c>
      <c r="DT56" s="41">
        <v>26844</v>
      </c>
      <c r="DV56" s="43" t="s">
        <v>32</v>
      </c>
      <c r="DW56" s="41">
        <v>63550</v>
      </c>
      <c r="DX56" s="118">
        <v>46041</v>
      </c>
      <c r="DY56" s="41">
        <v>82623</v>
      </c>
      <c r="EA56" s="43" t="s">
        <v>32</v>
      </c>
      <c r="EB56" s="41">
        <v>5556</v>
      </c>
      <c r="EC56" s="118">
        <v>4266</v>
      </c>
      <c r="ED56" s="41">
        <v>11363</v>
      </c>
      <c r="EF56" s="43" t="s">
        <v>32</v>
      </c>
      <c r="EG56" s="41">
        <v>14818</v>
      </c>
      <c r="EH56" s="118">
        <v>5357</v>
      </c>
      <c r="EI56" s="41">
        <v>13419</v>
      </c>
      <c r="EK56" s="43" t="s">
        <v>32</v>
      </c>
      <c r="EL56" s="41">
        <v>4812</v>
      </c>
      <c r="EM56" s="118">
        <v>4928</v>
      </c>
      <c r="EN56" s="41">
        <v>14855</v>
      </c>
      <c r="EP56" s="43" t="s">
        <v>32</v>
      </c>
      <c r="EQ56" s="41">
        <v>1884</v>
      </c>
      <c r="ER56" s="118">
        <v>2141</v>
      </c>
      <c r="ES56" s="41">
        <v>8399</v>
      </c>
      <c r="EU56" s="43" t="s">
        <v>32</v>
      </c>
      <c r="EV56" s="41">
        <v>2039</v>
      </c>
      <c r="EW56" s="118">
        <v>1727</v>
      </c>
      <c r="EX56" s="41">
        <v>9759</v>
      </c>
      <c r="EZ56" s="43" t="s">
        <v>32</v>
      </c>
      <c r="FA56" s="41">
        <v>4265</v>
      </c>
      <c r="FB56" s="118">
        <v>4383</v>
      </c>
      <c r="FC56" s="41">
        <v>11235</v>
      </c>
      <c r="FE56" s="43" t="s">
        <v>32</v>
      </c>
      <c r="FF56" s="41">
        <v>610</v>
      </c>
      <c r="FG56" s="118">
        <v>286</v>
      </c>
      <c r="FH56" s="41">
        <v>1110</v>
      </c>
      <c r="FJ56" s="43" t="s">
        <v>32</v>
      </c>
      <c r="FK56" s="41">
        <v>55</v>
      </c>
      <c r="FL56" s="118">
        <v>39</v>
      </c>
      <c r="FM56" s="41">
        <v>256</v>
      </c>
    </row>
    <row r="57" spans="1:169" ht="15">
      <c r="A57" s="43" t="s">
        <v>33</v>
      </c>
      <c r="B57" s="117">
        <v>225220</v>
      </c>
      <c r="C57" s="118">
        <v>146690</v>
      </c>
      <c r="D57" s="119">
        <v>234722</v>
      </c>
      <c r="F57" s="43" t="s">
        <v>33</v>
      </c>
      <c r="G57" s="41">
        <v>797218</v>
      </c>
      <c r="H57" s="118">
        <v>516880</v>
      </c>
      <c r="I57" s="41">
        <v>825497</v>
      </c>
      <c r="K57" s="43" t="s">
        <v>33</v>
      </c>
      <c r="L57" s="41">
        <v>400482</v>
      </c>
      <c r="M57" s="118">
        <v>222551</v>
      </c>
      <c r="N57" s="41">
        <v>375894</v>
      </c>
      <c r="P57" s="43" t="s">
        <v>33</v>
      </c>
      <c r="Q57" s="41">
        <v>10954</v>
      </c>
      <c r="R57" s="118">
        <v>9691</v>
      </c>
      <c r="S57" s="41">
        <v>21284</v>
      </c>
      <c r="T57" s="6"/>
      <c r="U57" s="43" t="s">
        <v>33</v>
      </c>
      <c r="V57" s="41">
        <v>1019.1999999999999</v>
      </c>
      <c r="W57" s="118">
        <v>767.19999999999993</v>
      </c>
      <c r="X57" s="41">
        <v>1587.6</v>
      </c>
      <c r="Z57" s="43" t="s">
        <v>33</v>
      </c>
      <c r="AA57" s="41">
        <v>2109</v>
      </c>
      <c r="AB57" s="118">
        <v>1574</v>
      </c>
      <c r="AC57" s="41">
        <v>3322</v>
      </c>
      <c r="AE57" s="43" t="s">
        <v>33</v>
      </c>
      <c r="AF57" s="41">
        <v>1030</v>
      </c>
      <c r="AG57" s="118">
        <v>825</v>
      </c>
      <c r="AH57" s="41">
        <v>1510</v>
      </c>
      <c r="AJ57" s="43" t="s">
        <v>33</v>
      </c>
      <c r="AK57" s="41">
        <v>207</v>
      </c>
      <c r="AL57" s="118">
        <v>2107</v>
      </c>
      <c r="AM57" s="41">
        <v>5111</v>
      </c>
      <c r="AO57" s="43" t="s">
        <v>33</v>
      </c>
      <c r="AP57" s="41">
        <v>640</v>
      </c>
      <c r="AQ57" s="118">
        <v>4861</v>
      </c>
      <c r="AR57" s="41">
        <v>13024</v>
      </c>
      <c r="AT57" s="43" t="s">
        <v>33</v>
      </c>
      <c r="AU57" s="41">
        <v>1712</v>
      </c>
      <c r="AV57" s="118">
        <v>2390</v>
      </c>
      <c r="AW57" s="41">
        <v>5703</v>
      </c>
      <c r="AY57" s="43" t="s">
        <v>33</v>
      </c>
      <c r="AZ57" s="41">
        <v>283</v>
      </c>
      <c r="BA57" s="118">
        <v>4789</v>
      </c>
      <c r="BB57" s="41">
        <v>12887</v>
      </c>
      <c r="BD57" s="43" t="s">
        <v>33</v>
      </c>
      <c r="BE57" s="41">
        <v>1279</v>
      </c>
      <c r="BF57" s="118">
        <v>840</v>
      </c>
      <c r="BG57" s="41">
        <v>1241</v>
      </c>
      <c r="BI57" s="43" t="s">
        <v>33</v>
      </c>
      <c r="BJ57" s="41">
        <v>9344</v>
      </c>
      <c r="BK57" s="118">
        <v>5679</v>
      </c>
      <c r="BL57" s="41">
        <v>10259</v>
      </c>
      <c r="BN57" s="43" t="s">
        <v>33</v>
      </c>
      <c r="BO57" s="41">
        <v>2352</v>
      </c>
      <c r="BP57" s="118">
        <v>627</v>
      </c>
      <c r="BQ57" s="41">
        <v>1550</v>
      </c>
      <c r="BS57" s="43" t="s">
        <v>33</v>
      </c>
      <c r="BT57" s="41">
        <v>568</v>
      </c>
      <c r="BU57" s="118">
        <v>408</v>
      </c>
      <c r="BV57" s="41">
        <v>713</v>
      </c>
      <c r="BX57" s="43" t="s">
        <v>33</v>
      </c>
      <c r="BY57" s="41">
        <f>31015</f>
        <v>31015</v>
      </c>
      <c r="BZ57" s="118">
        <f>24372</f>
        <v>24372</v>
      </c>
      <c r="CA57" s="41">
        <f>66200</f>
        <v>66200</v>
      </c>
      <c r="CB57" s="30"/>
      <c r="CC57" s="43" t="s">
        <v>33</v>
      </c>
      <c r="CD57" s="41">
        <f>627</f>
        <v>627</v>
      </c>
      <c r="CE57" s="118">
        <f>2724</f>
        <v>2724</v>
      </c>
      <c r="CF57" s="41">
        <f>8906</f>
        <v>8906</v>
      </c>
      <c r="CG57" s="30"/>
      <c r="CH57" s="43" t="s">
        <v>33</v>
      </c>
      <c r="CI57" s="41">
        <v>360</v>
      </c>
      <c r="CJ57" s="118">
        <v>486</v>
      </c>
      <c r="CK57" s="41">
        <v>142</v>
      </c>
      <c r="CL57" s="30"/>
      <c r="CM57" s="43" t="s">
        <v>33</v>
      </c>
      <c r="CN57" s="41">
        <v>50</v>
      </c>
      <c r="CO57" s="118">
        <v>32</v>
      </c>
      <c r="CP57" s="41">
        <v>56</v>
      </c>
      <c r="CR57" s="43" t="s">
        <v>33</v>
      </c>
      <c r="CS57" s="41">
        <v>148</v>
      </c>
      <c r="CT57" s="118">
        <v>67</v>
      </c>
      <c r="CU57" s="41">
        <v>120</v>
      </c>
      <c r="CW57" s="43" t="s">
        <v>33</v>
      </c>
      <c r="CX57" s="41">
        <v>82</v>
      </c>
      <c r="CY57" s="118">
        <v>58</v>
      </c>
      <c r="CZ57" s="41">
        <v>102</v>
      </c>
      <c r="DB57" s="43" t="s">
        <v>33</v>
      </c>
      <c r="DC57" s="41">
        <v>2271</v>
      </c>
      <c r="DD57" s="118">
        <v>1423</v>
      </c>
      <c r="DE57" s="41">
        <v>3095</v>
      </c>
      <c r="DG57" s="43" t="s">
        <v>33</v>
      </c>
      <c r="DH57" s="41">
        <v>420</v>
      </c>
      <c r="DI57" s="118">
        <v>1404</v>
      </c>
      <c r="DJ57" s="41">
        <v>4383</v>
      </c>
      <c r="DL57" s="43" t="s">
        <v>33</v>
      </c>
      <c r="DM57" s="41">
        <v>78</v>
      </c>
      <c r="DN57" s="118">
        <v>60</v>
      </c>
      <c r="DO57" s="41">
        <v>81</v>
      </c>
      <c r="DQ57" s="43" t="s">
        <v>33</v>
      </c>
      <c r="DR57" s="41">
        <v>8837</v>
      </c>
      <c r="DS57" s="118">
        <v>7874</v>
      </c>
      <c r="DT57" s="41">
        <v>17818</v>
      </c>
      <c r="DV57" s="43" t="s">
        <v>33</v>
      </c>
      <c r="DW57" s="41">
        <v>58770</v>
      </c>
      <c r="DX57" s="118">
        <v>40952</v>
      </c>
      <c r="DY57" s="41">
        <v>65038</v>
      </c>
      <c r="EA57" s="43" t="s">
        <v>33</v>
      </c>
      <c r="EB57" s="41">
        <v>4924</v>
      </c>
      <c r="EC57" s="118">
        <v>4677</v>
      </c>
      <c r="ED57" s="41">
        <v>10415</v>
      </c>
      <c r="EF57" s="43" t="s">
        <v>33</v>
      </c>
      <c r="EG57" s="41">
        <v>13003</v>
      </c>
      <c r="EH57" s="118">
        <v>5730</v>
      </c>
      <c r="EI57" s="41">
        <v>12643</v>
      </c>
      <c r="EK57" s="43" t="s">
        <v>33</v>
      </c>
      <c r="EL57" s="41">
        <v>5381</v>
      </c>
      <c r="EM57" s="118">
        <v>5986</v>
      </c>
      <c r="EN57" s="41">
        <v>14423</v>
      </c>
      <c r="EP57" s="43" t="s">
        <v>33</v>
      </c>
      <c r="EQ57" s="41">
        <v>2123</v>
      </c>
      <c r="ER57" s="118">
        <v>2953</v>
      </c>
      <c r="ES57" s="41">
        <v>8574</v>
      </c>
      <c r="EU57" s="43" t="s">
        <v>33</v>
      </c>
      <c r="EV57" s="41">
        <v>2362</v>
      </c>
      <c r="EW57" s="118">
        <v>2402</v>
      </c>
      <c r="EX57" s="41">
        <v>10176</v>
      </c>
      <c r="EZ57" s="43" t="s">
        <v>33</v>
      </c>
      <c r="FA57" s="41">
        <v>4453</v>
      </c>
      <c r="FB57" s="118">
        <v>5142</v>
      </c>
      <c r="FC57" s="41">
        <v>10432</v>
      </c>
      <c r="FE57" s="43" t="s">
        <v>33</v>
      </c>
      <c r="FF57" s="41">
        <v>747</v>
      </c>
      <c r="FG57" s="118">
        <v>320</v>
      </c>
      <c r="FH57" s="41">
        <v>1225</v>
      </c>
      <c r="FJ57" s="43" t="s">
        <v>33</v>
      </c>
      <c r="FK57" s="41">
        <v>70</v>
      </c>
      <c r="FL57" s="118">
        <v>46</v>
      </c>
      <c r="FM57" s="41">
        <v>283</v>
      </c>
    </row>
    <row r="58" spans="1:169" ht="15">
      <c r="A58" s="43" t="s">
        <v>34</v>
      </c>
      <c r="B58" s="117">
        <v>187666</v>
      </c>
      <c r="C58" s="118">
        <v>133476</v>
      </c>
      <c r="D58" s="119">
        <v>212364</v>
      </c>
      <c r="F58" s="43" t="s">
        <v>34</v>
      </c>
      <c r="G58" s="41">
        <v>584074</v>
      </c>
      <c r="H58" s="118">
        <v>398283</v>
      </c>
      <c r="I58" s="41">
        <v>651733</v>
      </c>
      <c r="K58" s="43" t="s">
        <v>34</v>
      </c>
      <c r="L58" s="41">
        <v>328721</v>
      </c>
      <c r="M58" s="118">
        <v>210729</v>
      </c>
      <c r="N58" s="41">
        <v>317491</v>
      </c>
      <c r="P58" s="43" t="s">
        <v>34</v>
      </c>
      <c r="Q58" s="41">
        <v>10992</v>
      </c>
      <c r="R58" s="118">
        <v>10663</v>
      </c>
      <c r="S58" s="41">
        <v>21377</v>
      </c>
      <c r="T58" s="6"/>
      <c r="U58" s="43" t="s">
        <v>34</v>
      </c>
      <c r="V58" s="41">
        <v>1538.6</v>
      </c>
      <c r="W58" s="118">
        <v>1181.5999999999999</v>
      </c>
      <c r="X58" s="41">
        <v>2183.2999999999997</v>
      </c>
      <c r="Z58" s="43" t="s">
        <v>34</v>
      </c>
      <c r="AA58" s="41">
        <v>3112</v>
      </c>
      <c r="AB58" s="118">
        <v>2402</v>
      </c>
      <c r="AC58" s="41">
        <v>4084</v>
      </c>
      <c r="AE58" s="43" t="s">
        <v>34</v>
      </c>
      <c r="AF58" s="41">
        <v>1341</v>
      </c>
      <c r="AG58" s="118">
        <v>1070</v>
      </c>
      <c r="AH58" s="41">
        <v>1732</v>
      </c>
      <c r="AJ58" s="43" t="s">
        <v>34</v>
      </c>
      <c r="AK58" s="41">
        <v>732</v>
      </c>
      <c r="AL58" s="118">
        <v>2758</v>
      </c>
      <c r="AM58" s="41">
        <v>5558</v>
      </c>
      <c r="AO58" s="43" t="s">
        <v>34</v>
      </c>
      <c r="AP58" s="41">
        <v>1723</v>
      </c>
      <c r="AQ58" s="118">
        <v>6896</v>
      </c>
      <c r="AR58" s="41">
        <v>14404</v>
      </c>
      <c r="AT58" s="43" t="s">
        <v>34</v>
      </c>
      <c r="AU58" s="41">
        <v>1653</v>
      </c>
      <c r="AV58" s="118">
        <v>3358</v>
      </c>
      <c r="AW58" s="41">
        <v>6531</v>
      </c>
      <c r="AY58" s="43" t="s">
        <v>34</v>
      </c>
      <c r="AZ58" s="41">
        <v>1143</v>
      </c>
      <c r="BA58" s="118">
        <v>6576</v>
      </c>
      <c r="BB58" s="41">
        <v>13908</v>
      </c>
      <c r="BD58" s="43" t="s">
        <v>34</v>
      </c>
      <c r="BE58" s="41">
        <v>2241</v>
      </c>
      <c r="BF58" s="118">
        <v>1565</v>
      </c>
      <c r="BG58" s="41">
        <v>1934</v>
      </c>
      <c r="BI58" s="43" t="s">
        <v>34</v>
      </c>
      <c r="BJ58" s="41">
        <v>10258</v>
      </c>
      <c r="BK58" s="118">
        <v>6564</v>
      </c>
      <c r="BL58" s="41">
        <v>11042</v>
      </c>
      <c r="BN58" s="43" t="s">
        <v>34</v>
      </c>
      <c r="BO58" s="41">
        <v>1016</v>
      </c>
      <c r="BP58" s="118">
        <v>407</v>
      </c>
      <c r="BQ58" s="41">
        <v>449</v>
      </c>
      <c r="BS58" s="43" t="s">
        <v>34</v>
      </c>
      <c r="BT58" s="41">
        <v>573</v>
      </c>
      <c r="BU58" s="118">
        <v>450</v>
      </c>
      <c r="BV58" s="41">
        <v>741</v>
      </c>
      <c r="BX58" s="43" t="s">
        <v>34</v>
      </c>
      <c r="BY58" s="41">
        <f>19322</f>
        <v>19322</v>
      </c>
      <c r="BZ58" s="118">
        <f>27854</f>
        <v>27854</v>
      </c>
      <c r="CA58" s="41">
        <f>70519</f>
        <v>70519</v>
      </c>
      <c r="CB58" s="30"/>
      <c r="CC58" s="43" t="s">
        <v>34</v>
      </c>
      <c r="CD58" s="41">
        <f>887</f>
        <v>887</v>
      </c>
      <c r="CE58" s="118">
        <f>2645</f>
        <v>2645</v>
      </c>
      <c r="CF58" s="41">
        <f>7899</f>
        <v>7899</v>
      </c>
      <c r="CG58" s="30"/>
      <c r="CH58" s="43" t="s">
        <v>34</v>
      </c>
      <c r="CI58" s="41">
        <v>388</v>
      </c>
      <c r="CJ58" s="118">
        <v>523</v>
      </c>
      <c r="CK58" s="41">
        <v>140</v>
      </c>
      <c r="CL58" s="30"/>
      <c r="CM58" s="43" t="s">
        <v>34</v>
      </c>
      <c r="CN58" s="41">
        <v>48</v>
      </c>
      <c r="CO58" s="118">
        <v>35</v>
      </c>
      <c r="CP58" s="41">
        <v>58</v>
      </c>
      <c r="CR58" s="43" t="s">
        <v>34</v>
      </c>
      <c r="CS58" s="41">
        <v>83</v>
      </c>
      <c r="CT58" s="118">
        <v>55</v>
      </c>
      <c r="CU58" s="41">
        <v>90</v>
      </c>
      <c r="CW58" s="43" t="s">
        <v>34</v>
      </c>
      <c r="CX58" s="41">
        <v>77</v>
      </c>
      <c r="CY58" s="118">
        <v>54</v>
      </c>
      <c r="CZ58" s="41">
        <v>115</v>
      </c>
      <c r="DB58" s="43" t="s">
        <v>34</v>
      </c>
      <c r="DC58" s="41">
        <v>2257</v>
      </c>
      <c r="DD58" s="118">
        <v>1649</v>
      </c>
      <c r="DE58" s="41">
        <v>3047</v>
      </c>
      <c r="DG58" s="43" t="s">
        <v>34</v>
      </c>
      <c r="DH58" s="41">
        <v>798</v>
      </c>
      <c r="DI58" s="118">
        <v>1911</v>
      </c>
      <c r="DJ58" s="41">
        <v>4806</v>
      </c>
      <c r="DL58" s="43" t="s">
        <v>34</v>
      </c>
      <c r="DM58" s="41">
        <v>74</v>
      </c>
      <c r="DN58" s="118">
        <v>53</v>
      </c>
      <c r="DO58" s="41">
        <v>97</v>
      </c>
      <c r="DQ58" s="43" t="s">
        <v>34</v>
      </c>
      <c r="DR58" s="41">
        <v>6811</v>
      </c>
      <c r="DS58" s="118">
        <v>7512</v>
      </c>
      <c r="DT58" s="41">
        <v>15333</v>
      </c>
      <c r="DV58" s="43" t="s">
        <v>34</v>
      </c>
      <c r="DW58" s="41">
        <v>45688</v>
      </c>
      <c r="DX58" s="118">
        <v>36290</v>
      </c>
      <c r="DY58" s="41">
        <v>56074</v>
      </c>
      <c r="EA58" s="43" t="s">
        <v>34</v>
      </c>
      <c r="EB58" s="41">
        <v>4581</v>
      </c>
      <c r="EC58" s="118">
        <v>5817</v>
      </c>
      <c r="ED58" s="41">
        <v>12250</v>
      </c>
      <c r="EF58" s="43" t="s">
        <v>34</v>
      </c>
      <c r="EG58" s="41">
        <v>9926</v>
      </c>
      <c r="EH58" s="118">
        <v>6285</v>
      </c>
      <c r="EI58" s="41">
        <v>12793</v>
      </c>
      <c r="EK58" s="43" t="s">
        <v>34</v>
      </c>
      <c r="EL58" s="41">
        <v>6420</v>
      </c>
      <c r="EM58" s="118">
        <v>7058</v>
      </c>
      <c r="EN58" s="41">
        <v>15312</v>
      </c>
      <c r="EP58" s="43" t="s">
        <v>34</v>
      </c>
      <c r="EQ58" s="41">
        <v>3518</v>
      </c>
      <c r="ER58" s="118">
        <v>3689</v>
      </c>
      <c r="ES58" s="41">
        <v>9901</v>
      </c>
      <c r="EU58" s="43" t="s">
        <v>34</v>
      </c>
      <c r="EV58" s="41">
        <v>2957</v>
      </c>
      <c r="EW58" s="118">
        <v>2975</v>
      </c>
      <c r="EX58" s="41">
        <v>10656</v>
      </c>
      <c r="EZ58" s="43" t="s">
        <v>34</v>
      </c>
      <c r="FA58" s="41">
        <v>5867</v>
      </c>
      <c r="FB58" s="118">
        <v>6399</v>
      </c>
      <c r="FC58" s="41">
        <v>12104</v>
      </c>
      <c r="FE58" s="43" t="s">
        <v>34</v>
      </c>
      <c r="FF58" s="41">
        <v>948</v>
      </c>
      <c r="FG58" s="118">
        <v>417</v>
      </c>
      <c r="FH58" s="41">
        <v>1500</v>
      </c>
      <c r="FJ58" s="43" t="s">
        <v>34</v>
      </c>
      <c r="FK58" s="41">
        <v>87</v>
      </c>
      <c r="FL58" s="118">
        <v>54</v>
      </c>
      <c r="FM58" s="41">
        <v>319</v>
      </c>
    </row>
    <row r="59" spans="1:169" ht="15">
      <c r="A59" s="43" t="s">
        <v>35</v>
      </c>
      <c r="B59" s="117">
        <v>154398</v>
      </c>
      <c r="C59" s="118">
        <v>106720</v>
      </c>
      <c r="D59" s="119">
        <v>195528</v>
      </c>
      <c r="F59" s="43" t="s">
        <v>35</v>
      </c>
      <c r="G59" s="41">
        <v>288696.27675879694</v>
      </c>
      <c r="H59" s="118">
        <v>518502.35450078617</v>
      </c>
      <c r="I59" s="41">
        <v>385929.42695584422</v>
      </c>
      <c r="K59" s="43" t="s">
        <v>35</v>
      </c>
      <c r="L59" s="41">
        <v>314234</v>
      </c>
      <c r="M59" s="118">
        <v>181487</v>
      </c>
      <c r="N59" s="41">
        <v>309503</v>
      </c>
      <c r="P59" s="43" t="s">
        <v>35</v>
      </c>
      <c r="Q59" s="41">
        <v>12231</v>
      </c>
      <c r="R59" s="118">
        <v>9833</v>
      </c>
      <c r="S59" s="41">
        <v>21990</v>
      </c>
      <c r="T59" s="6"/>
      <c r="U59" s="43" t="s">
        <v>35</v>
      </c>
      <c r="V59" s="41">
        <v>3089.1</v>
      </c>
      <c r="W59" s="118">
        <v>1500.8</v>
      </c>
      <c r="X59" s="41">
        <v>2798.6</v>
      </c>
      <c r="Z59" s="43" t="s">
        <v>35</v>
      </c>
      <c r="AA59" s="41">
        <v>4310</v>
      </c>
      <c r="AB59" s="118">
        <v>2464</v>
      </c>
      <c r="AC59" s="41">
        <v>4559</v>
      </c>
      <c r="AE59" s="43" t="s">
        <v>35</v>
      </c>
      <c r="AF59" s="41">
        <v>1457</v>
      </c>
      <c r="AG59" s="118">
        <v>1104</v>
      </c>
      <c r="AH59" s="41">
        <v>2047</v>
      </c>
      <c r="AJ59" s="43" t="s">
        <v>35</v>
      </c>
      <c r="AK59" s="41">
        <v>1277</v>
      </c>
      <c r="AL59" s="118">
        <v>2720</v>
      </c>
      <c r="AM59" s="41">
        <v>5663</v>
      </c>
      <c r="AO59" s="43" t="s">
        <v>35</v>
      </c>
      <c r="AP59" s="41">
        <v>2965</v>
      </c>
      <c r="AQ59" s="118">
        <v>6572</v>
      </c>
      <c r="AR59" s="41">
        <v>14611</v>
      </c>
      <c r="AT59" s="43" t="s">
        <v>35</v>
      </c>
      <c r="AU59" s="41">
        <v>2112</v>
      </c>
      <c r="AV59" s="118">
        <v>3302</v>
      </c>
      <c r="AW59" s="41">
        <v>6883</v>
      </c>
      <c r="AY59" s="43" t="s">
        <v>35</v>
      </c>
      <c r="AZ59" s="41">
        <v>2627</v>
      </c>
      <c r="BA59" s="118">
        <v>6332</v>
      </c>
      <c r="BB59" s="41">
        <v>14112</v>
      </c>
      <c r="BD59" s="43" t="s">
        <v>35</v>
      </c>
      <c r="BE59" s="41">
        <v>3007</v>
      </c>
      <c r="BF59" s="118">
        <v>1994</v>
      </c>
      <c r="BG59" s="41">
        <v>2840</v>
      </c>
      <c r="BI59" s="43" t="s">
        <v>35</v>
      </c>
      <c r="BJ59" s="41">
        <v>11398</v>
      </c>
      <c r="BK59" s="118">
        <v>6719</v>
      </c>
      <c r="BL59" s="41">
        <v>12491</v>
      </c>
      <c r="BN59" s="43" t="s">
        <v>35</v>
      </c>
      <c r="BO59" s="41">
        <v>340</v>
      </c>
      <c r="BP59" s="118">
        <v>136</v>
      </c>
      <c r="BQ59" s="41">
        <v>230</v>
      </c>
      <c r="BS59" s="43" t="s">
        <v>35</v>
      </c>
      <c r="BT59" s="41">
        <v>630</v>
      </c>
      <c r="BU59" s="118">
        <v>461</v>
      </c>
      <c r="BV59" s="41">
        <v>874</v>
      </c>
      <c r="BX59" s="43" t="s">
        <v>35</v>
      </c>
      <c r="BY59" s="41">
        <f>26752</f>
        <v>26752</v>
      </c>
      <c r="BZ59" s="118">
        <f>26570</f>
        <v>26570</v>
      </c>
      <c r="CA59" s="41">
        <v>72381</v>
      </c>
      <c r="CB59" s="30"/>
      <c r="CC59" s="43" t="s">
        <v>35</v>
      </c>
      <c r="CD59" s="41">
        <f>1170</f>
        <v>1170</v>
      </c>
      <c r="CE59" s="118">
        <f>2942</f>
        <v>2942</v>
      </c>
      <c r="CF59" s="41">
        <f>9795</f>
        <v>9795</v>
      </c>
      <c r="CG59" s="30"/>
      <c r="CH59" s="43" t="s">
        <v>35</v>
      </c>
      <c r="CI59" s="41">
        <v>422</v>
      </c>
      <c r="CJ59" s="118">
        <v>464</v>
      </c>
      <c r="CK59" s="41">
        <v>146</v>
      </c>
      <c r="CL59" s="30"/>
      <c r="CM59" s="43" t="s">
        <v>35</v>
      </c>
      <c r="CN59" s="41">
        <v>43</v>
      </c>
      <c r="CO59" s="118">
        <v>30</v>
      </c>
      <c r="CP59" s="41">
        <v>57</v>
      </c>
      <c r="CR59" s="43" t="s">
        <v>35</v>
      </c>
      <c r="CS59" s="41">
        <v>110</v>
      </c>
      <c r="CT59" s="118">
        <v>45</v>
      </c>
      <c r="CU59" s="41">
        <v>81</v>
      </c>
      <c r="CW59" s="43" t="s">
        <v>35</v>
      </c>
      <c r="CX59" s="41">
        <v>70</v>
      </c>
      <c r="CY59" s="118">
        <v>55</v>
      </c>
      <c r="CZ59" s="41">
        <v>104</v>
      </c>
      <c r="DB59" s="43" t="s">
        <v>35</v>
      </c>
      <c r="DC59" s="41">
        <v>2107</v>
      </c>
      <c r="DD59" s="118">
        <v>1547</v>
      </c>
      <c r="DE59" s="41">
        <v>2989</v>
      </c>
      <c r="DG59" s="43" t="s">
        <v>35</v>
      </c>
      <c r="DH59" s="41">
        <v>1318</v>
      </c>
      <c r="DI59" s="118">
        <v>1878</v>
      </c>
      <c r="DJ59" s="41">
        <v>5077</v>
      </c>
      <c r="DL59" s="43" t="s">
        <v>35</v>
      </c>
      <c r="DM59" s="41">
        <v>73</v>
      </c>
      <c r="DN59" s="118">
        <v>57</v>
      </c>
      <c r="DO59" s="41">
        <v>68</v>
      </c>
      <c r="DQ59" s="43" t="s">
        <v>35</v>
      </c>
      <c r="DR59" s="41">
        <v>6458</v>
      </c>
      <c r="DS59" s="118">
        <v>6254</v>
      </c>
      <c r="DT59" s="41">
        <v>13631</v>
      </c>
      <c r="DV59" s="43" t="s">
        <v>35</v>
      </c>
      <c r="DW59" s="41">
        <v>37179</v>
      </c>
      <c r="DX59" s="118">
        <v>28575</v>
      </c>
      <c r="DY59" s="41">
        <v>50987</v>
      </c>
      <c r="EA59" s="43" t="s">
        <v>35</v>
      </c>
      <c r="EB59" s="41">
        <v>6568</v>
      </c>
      <c r="EC59" s="118">
        <v>5775</v>
      </c>
      <c r="ED59" s="41">
        <v>13880</v>
      </c>
      <c r="EF59" s="43" t="s">
        <v>35</v>
      </c>
      <c r="EG59" s="41">
        <v>10838</v>
      </c>
      <c r="EH59" s="118">
        <v>5867</v>
      </c>
      <c r="EI59" s="41">
        <v>13478</v>
      </c>
      <c r="EK59" s="43" t="s">
        <v>35</v>
      </c>
      <c r="EL59" s="41">
        <v>6500</v>
      </c>
      <c r="EM59" s="118">
        <v>6561</v>
      </c>
      <c r="EN59" s="41">
        <v>15885</v>
      </c>
      <c r="EP59" s="43" t="s">
        <v>35</v>
      </c>
      <c r="EQ59" s="41">
        <v>6275</v>
      </c>
      <c r="ER59" s="118">
        <v>3647</v>
      </c>
      <c r="ES59" s="41">
        <v>10776</v>
      </c>
      <c r="EU59" s="43" t="s">
        <v>35</v>
      </c>
      <c r="EV59" s="41">
        <v>3102</v>
      </c>
      <c r="EW59" s="118">
        <v>2771</v>
      </c>
      <c r="EX59" s="41">
        <v>10680</v>
      </c>
      <c r="EZ59" s="43" t="s">
        <v>35</v>
      </c>
      <c r="FA59" s="41">
        <v>8760</v>
      </c>
      <c r="FB59" s="118">
        <v>6073</v>
      </c>
      <c r="FC59" s="41">
        <v>13345</v>
      </c>
      <c r="FE59" s="43" t="s">
        <v>35</v>
      </c>
      <c r="FF59" s="41">
        <v>952</v>
      </c>
      <c r="FG59" s="118">
        <v>511</v>
      </c>
      <c r="FH59" s="41">
        <v>2012</v>
      </c>
      <c r="FJ59" s="43" t="s">
        <v>35</v>
      </c>
      <c r="FK59" s="41">
        <v>87</v>
      </c>
      <c r="FL59" s="118">
        <v>62</v>
      </c>
      <c r="FM59" s="41">
        <v>357</v>
      </c>
    </row>
    <row r="60" spans="1:169" ht="15">
      <c r="A60" s="43" t="s">
        <v>36</v>
      </c>
      <c r="B60" s="117">
        <v>148836</v>
      </c>
      <c r="C60" s="118">
        <v>88650</v>
      </c>
      <c r="D60" s="119">
        <v>204974</v>
      </c>
      <c r="F60" s="43" t="s">
        <v>36</v>
      </c>
      <c r="G60" s="41">
        <v>411002.93222110963</v>
      </c>
      <c r="H60" s="118">
        <v>243225.32930431108</v>
      </c>
      <c r="I60" s="41">
        <v>535388.49947596982</v>
      </c>
      <c r="K60" s="43" t="s">
        <v>36</v>
      </c>
      <c r="L60" s="41">
        <v>304548</v>
      </c>
      <c r="M60" s="118">
        <v>160293</v>
      </c>
      <c r="N60" s="41">
        <v>341085</v>
      </c>
      <c r="P60" s="43" t="s">
        <v>36</v>
      </c>
      <c r="Q60" s="41">
        <v>10463</v>
      </c>
      <c r="R60" s="118">
        <v>7034</v>
      </c>
      <c r="S60" s="41">
        <v>10698</v>
      </c>
      <c r="T60" s="6"/>
      <c r="U60" s="43" t="s">
        <v>36</v>
      </c>
      <c r="V60" s="41">
        <v>1430.1</v>
      </c>
      <c r="W60" s="118">
        <v>912.09999999999991</v>
      </c>
      <c r="X60" s="41">
        <v>1871.1</v>
      </c>
      <c r="Z60" s="43" t="s">
        <v>36</v>
      </c>
      <c r="AA60" s="41">
        <v>4967</v>
      </c>
      <c r="AB60" s="118">
        <v>2400</v>
      </c>
      <c r="AC60" s="41">
        <v>5748</v>
      </c>
      <c r="AE60" s="43" t="s">
        <v>36</v>
      </c>
      <c r="AF60" s="41">
        <v>1320</v>
      </c>
      <c r="AG60" s="118">
        <v>888</v>
      </c>
      <c r="AH60" s="41">
        <v>1350</v>
      </c>
      <c r="AJ60" s="43" t="s">
        <v>36</v>
      </c>
      <c r="AK60" s="41">
        <v>1609</v>
      </c>
      <c r="AL60" s="118">
        <v>2607</v>
      </c>
      <c r="AM60" s="41">
        <v>6390</v>
      </c>
      <c r="AO60" s="43" t="s">
        <v>36</v>
      </c>
      <c r="AP60" s="41">
        <v>5971</v>
      </c>
      <c r="AQ60" s="118">
        <v>4014</v>
      </c>
      <c r="AR60" s="41">
        <v>6105</v>
      </c>
      <c r="AT60" s="43" t="s">
        <v>36</v>
      </c>
      <c r="AU60" s="41">
        <v>3059</v>
      </c>
      <c r="AV60" s="118">
        <v>2056</v>
      </c>
      <c r="AW60" s="41">
        <v>3128</v>
      </c>
      <c r="AY60" s="43" t="s">
        <v>36</v>
      </c>
      <c r="AZ60" s="41">
        <v>5768</v>
      </c>
      <c r="BA60" s="118">
        <v>3878</v>
      </c>
      <c r="BB60" s="41">
        <v>5898</v>
      </c>
      <c r="BD60" s="43" t="s">
        <v>36</v>
      </c>
      <c r="BE60" s="41">
        <v>1685</v>
      </c>
      <c r="BF60" s="118">
        <v>1133</v>
      </c>
      <c r="BG60" s="41">
        <v>1723</v>
      </c>
      <c r="BI60" s="43" t="s">
        <v>36</v>
      </c>
      <c r="BJ60" s="41">
        <v>11968</v>
      </c>
      <c r="BK60" s="118">
        <v>6189</v>
      </c>
      <c r="BL60" s="41">
        <v>14389</v>
      </c>
      <c r="BN60" s="43" t="s">
        <v>36</v>
      </c>
      <c r="BO60" s="41">
        <v>485</v>
      </c>
      <c r="BP60" s="118">
        <v>135</v>
      </c>
      <c r="BQ60" s="41">
        <v>444</v>
      </c>
      <c r="BS60" s="43" t="s">
        <v>36</v>
      </c>
      <c r="BT60" s="41">
        <v>726</v>
      </c>
      <c r="BU60" s="118">
        <v>481</v>
      </c>
      <c r="BV60" s="41">
        <v>1130</v>
      </c>
      <c r="BX60" s="43" t="s">
        <v>36</v>
      </c>
      <c r="BY60" s="41">
        <f>31349</f>
        <v>31349</v>
      </c>
      <c r="BZ60" s="118">
        <f>27861</f>
        <v>27861</v>
      </c>
      <c r="CA60" s="41">
        <f>82843</f>
        <v>82843</v>
      </c>
      <c r="CB60" s="30"/>
      <c r="CC60" s="43" t="s">
        <v>36</v>
      </c>
      <c r="CD60" s="41">
        <f>1377</f>
        <v>1377</v>
      </c>
      <c r="CE60" s="118">
        <f>2957</f>
        <v>2957</v>
      </c>
      <c r="CF60" s="41">
        <f>10444</f>
        <v>10444</v>
      </c>
      <c r="CG60" s="30"/>
      <c r="CH60" s="43" t="s">
        <v>36</v>
      </c>
      <c r="CI60" s="41">
        <v>521</v>
      </c>
      <c r="CJ60" s="118">
        <v>364</v>
      </c>
      <c r="CK60" s="41">
        <v>129</v>
      </c>
      <c r="CL60" s="30"/>
      <c r="CM60" s="43" t="s">
        <v>36</v>
      </c>
      <c r="CN60" s="41">
        <v>43</v>
      </c>
      <c r="CO60" s="118">
        <v>26</v>
      </c>
      <c r="CP60" s="41">
        <v>60</v>
      </c>
      <c r="CR60" s="43" t="s">
        <v>36</v>
      </c>
      <c r="CS60" s="41">
        <v>109</v>
      </c>
      <c r="CT60" s="118">
        <v>78</v>
      </c>
      <c r="CU60" s="41">
        <v>139</v>
      </c>
      <c r="CW60" s="43" t="s">
        <v>36</v>
      </c>
      <c r="CX60" s="41">
        <v>71</v>
      </c>
      <c r="CY60" s="118">
        <v>59</v>
      </c>
      <c r="CZ60" s="41">
        <v>107</v>
      </c>
      <c r="DB60" s="43" t="s">
        <v>36</v>
      </c>
      <c r="DC60" s="41">
        <v>2201</v>
      </c>
      <c r="DD60" s="118">
        <v>1563</v>
      </c>
      <c r="DE60" s="41">
        <v>2971</v>
      </c>
      <c r="DG60" s="43" t="s">
        <v>36</v>
      </c>
      <c r="DH60" s="41">
        <v>1491</v>
      </c>
      <c r="DI60" s="118">
        <v>2088</v>
      </c>
      <c r="DJ60" s="41">
        <v>5849</v>
      </c>
      <c r="DL60" s="43" t="s">
        <v>36</v>
      </c>
      <c r="DM60" s="41">
        <v>92</v>
      </c>
      <c r="DN60" s="118">
        <v>61</v>
      </c>
      <c r="DO60" s="41">
        <v>135</v>
      </c>
      <c r="DQ60" s="43" t="s">
        <v>36</v>
      </c>
      <c r="DR60" s="41">
        <v>5955</v>
      </c>
      <c r="DS60" s="118">
        <v>5501</v>
      </c>
      <c r="DT60" s="41">
        <v>13677</v>
      </c>
      <c r="DV60" s="43" t="s">
        <v>36</v>
      </c>
      <c r="DW60" s="41">
        <v>33620</v>
      </c>
      <c r="DX60" s="118">
        <v>22322</v>
      </c>
      <c r="DY60" s="41">
        <v>48973</v>
      </c>
      <c r="EA60" s="43" t="s">
        <v>36</v>
      </c>
      <c r="EB60" s="41">
        <v>7187</v>
      </c>
      <c r="EC60" s="118">
        <v>6240</v>
      </c>
      <c r="ED60" s="41">
        <v>16597</v>
      </c>
      <c r="EF60" s="43" t="s">
        <v>36</v>
      </c>
      <c r="EG60" s="41">
        <v>11468</v>
      </c>
      <c r="EH60" s="118">
        <v>5833</v>
      </c>
      <c r="EI60" s="41">
        <v>15090</v>
      </c>
      <c r="EK60" s="43" t="s">
        <v>36</v>
      </c>
      <c r="EL60" s="41">
        <v>7118</v>
      </c>
      <c r="EM60" s="118">
        <v>6304</v>
      </c>
      <c r="EN60" s="41">
        <v>17501</v>
      </c>
      <c r="EP60" s="43" t="s">
        <v>36</v>
      </c>
      <c r="EQ60" s="41">
        <v>6326</v>
      </c>
      <c r="ER60" s="118">
        <v>3592</v>
      </c>
      <c r="ES60" s="41">
        <v>11686</v>
      </c>
      <c r="EU60" s="43" t="s">
        <v>36</v>
      </c>
      <c r="EV60" s="41">
        <v>3412</v>
      </c>
      <c r="EW60" s="118">
        <v>2877</v>
      </c>
      <c r="EX60" s="41">
        <v>10801</v>
      </c>
      <c r="EZ60" s="43" t="s">
        <v>36</v>
      </c>
      <c r="FA60" s="41">
        <v>8898</v>
      </c>
      <c r="FB60" s="118">
        <v>5836</v>
      </c>
      <c r="FC60" s="41">
        <v>14873</v>
      </c>
      <c r="FE60" s="43" t="s">
        <v>36</v>
      </c>
      <c r="FF60" s="41">
        <v>1110</v>
      </c>
      <c r="FG60" s="118">
        <v>594</v>
      </c>
      <c r="FH60" s="41">
        <v>2516</v>
      </c>
      <c r="FJ60" s="43" t="s">
        <v>36</v>
      </c>
      <c r="FK60" s="41">
        <v>74</v>
      </c>
      <c r="FL60" s="118">
        <v>65</v>
      </c>
      <c r="FM60" s="41">
        <v>386</v>
      </c>
    </row>
    <row r="61" spans="1:169" ht="15">
      <c r="A61" s="147" t="s">
        <v>52</v>
      </c>
      <c r="B61" s="42">
        <f>SUM(B49:B60)</f>
        <v>2248432</v>
      </c>
      <c r="C61" s="42">
        <f>SUM(C49:C60)</f>
        <v>1471236</v>
      </c>
      <c r="D61" s="42">
        <f>SUM(D49:D60)</f>
        <v>2588974</v>
      </c>
      <c r="F61" s="62" t="s">
        <v>52</v>
      </c>
      <c r="G61" s="42">
        <f>SUM(G49:G60)</f>
        <v>7373136.2089799065</v>
      </c>
      <c r="H61" s="42">
        <f t="shared" ref="H61:I61" si="16">SUM(H49:H60)</f>
        <v>5136467.6838050978</v>
      </c>
      <c r="I61" s="42">
        <f t="shared" si="16"/>
        <v>8563455.9264318142</v>
      </c>
      <c r="K61" s="62" t="str">
        <f>F61</f>
        <v>Totale</v>
      </c>
      <c r="L61" s="42">
        <f>SUM(L49:L60)</f>
        <v>4235595</v>
      </c>
      <c r="M61" s="42">
        <f>SUM(M49:M60)</f>
        <v>2425489</v>
      </c>
      <c r="N61" s="42">
        <f>SUM(N49:N60)</f>
        <v>4202178</v>
      </c>
      <c r="P61" s="62" t="str">
        <f>K61</f>
        <v>Totale</v>
      </c>
      <c r="Q61" s="42">
        <f>SUM(Q49:Q60)</f>
        <v>111714</v>
      </c>
      <c r="R61" s="42">
        <f>SUM(R49:R60)</f>
        <v>91939</v>
      </c>
      <c r="S61" s="42">
        <f>SUM(S49:S60)</f>
        <v>201926</v>
      </c>
      <c r="T61" s="112"/>
      <c r="U61" s="62" t="str">
        <f>P61</f>
        <v>Totale</v>
      </c>
      <c r="V61" s="42">
        <f>SUM(V49:V60)</f>
        <v>24339.699999999997</v>
      </c>
      <c r="W61" s="42">
        <f>SUM(W49:W60)</f>
        <v>14002.1</v>
      </c>
      <c r="X61" s="42">
        <f>SUM(X49:X60)</f>
        <v>30913.399999999991</v>
      </c>
      <c r="Z61" s="62" t="str">
        <f>P61</f>
        <v>Totale</v>
      </c>
      <c r="AA61" s="42">
        <f>SUM(AA49:AA60)</f>
        <v>39958</v>
      </c>
      <c r="AB61" s="42">
        <f>SUM(AB49:AB60)</f>
        <v>23564</v>
      </c>
      <c r="AC61" s="42">
        <f>SUM(AC49:AC60)</f>
        <v>46747</v>
      </c>
      <c r="AE61" s="62" t="str">
        <f>Z61</f>
        <v>Totale</v>
      </c>
      <c r="AF61" s="42">
        <f>SUM(AF49:AF60)</f>
        <v>15072</v>
      </c>
      <c r="AG61" s="42">
        <f>SUM(AG49:AG60)</f>
        <v>12233</v>
      </c>
      <c r="AH61" s="42">
        <f>SUM(AH49:AH60)</f>
        <v>23950</v>
      </c>
      <c r="AJ61" s="62" t="str">
        <f>AE61</f>
        <v>Totale</v>
      </c>
      <c r="AK61" s="42">
        <f>SUM(AK49:AK60)</f>
        <v>8265</v>
      </c>
      <c r="AL61" s="42">
        <f>SUM(AL49:AL60)</f>
        <v>24992</v>
      </c>
      <c r="AM61" s="42">
        <f>SUM(AM49:AM60)</f>
        <v>64544</v>
      </c>
      <c r="AO61" s="62" t="str">
        <f>AJ61</f>
        <v>Totale</v>
      </c>
      <c r="AP61" s="42">
        <f>SUM(AP49:AP60)</f>
        <v>19468</v>
      </c>
      <c r="AQ61" s="42">
        <f>SUM(AQ49:AQ60)</f>
        <v>57792</v>
      </c>
      <c r="AR61" s="42">
        <f>SUM(AR49:AR60)</f>
        <v>154539</v>
      </c>
      <c r="AT61" s="62" t="str">
        <f>AO61</f>
        <v>Totale</v>
      </c>
      <c r="AU61" s="42">
        <f>SUM(AU49:AU60)</f>
        <v>18272</v>
      </c>
      <c r="AV61" s="42">
        <f>SUM(AV49:AV60)</f>
        <v>29494</v>
      </c>
      <c r="AW61" s="42">
        <f>SUM(AW49:AW60)</f>
        <v>71488</v>
      </c>
      <c r="AY61" s="62" t="str">
        <f>AT61</f>
        <v>Totale</v>
      </c>
      <c r="AZ61" s="42">
        <f>SUM(AZ49:AZ60)</f>
        <v>15709</v>
      </c>
      <c r="BA61" s="42">
        <f>SUM(BA49:BA60)</f>
        <v>55950</v>
      </c>
      <c r="BB61" s="42">
        <f>SUM(BB49:BB60)</f>
        <v>152271</v>
      </c>
      <c r="BD61" s="62" t="str">
        <f>AY61</f>
        <v>Totale</v>
      </c>
      <c r="BE61" s="42">
        <f>SUM(BE49:BE60)</f>
        <v>25195</v>
      </c>
      <c r="BF61" s="42">
        <f>SUM(BF49:BF60)</f>
        <v>16200</v>
      </c>
      <c r="BG61" s="42">
        <f>SUM(BG49:BG60)</f>
        <v>24020</v>
      </c>
      <c r="BI61" s="62" t="s">
        <v>52</v>
      </c>
      <c r="BJ61" s="42">
        <f>SUM(BJ49:BJ60)</f>
        <v>129429.73446327684</v>
      </c>
      <c r="BK61" s="42">
        <f>SUM(BK49:BK60)</f>
        <v>74593.662900188327</v>
      </c>
      <c r="BL61" s="42">
        <f>SUM(BL49:BL60)</f>
        <v>146439.60263653484</v>
      </c>
      <c r="BN61" s="62" t="str">
        <f>BI61</f>
        <v>Totale</v>
      </c>
      <c r="BO61" s="42">
        <f>SUM(BO49:BO60)</f>
        <v>18212</v>
      </c>
      <c r="BP61" s="42">
        <f>SUM(BP49:BP60)</f>
        <v>6707</v>
      </c>
      <c r="BQ61" s="42">
        <f>SUM(BQ49:BQ60)</f>
        <v>11874</v>
      </c>
      <c r="BS61" s="62" t="str">
        <f>BN61</f>
        <v>Totale</v>
      </c>
      <c r="BT61" s="42">
        <f>SUM(BT49:BT60)</f>
        <v>6337</v>
      </c>
      <c r="BU61" s="42">
        <f>SUM(BU49:BU60)</f>
        <v>4679</v>
      </c>
      <c r="BV61" s="42">
        <f>SUM(BV49:BV60)</f>
        <v>8988</v>
      </c>
      <c r="BX61" s="63" t="s">
        <v>179</v>
      </c>
      <c r="BY61" s="118">
        <f>SUM(BY49:BY60)</f>
        <v>386756</v>
      </c>
      <c r="BZ61" s="118">
        <f>SUM(BZ49:BZ60)</f>
        <v>316052</v>
      </c>
      <c r="CA61" s="118">
        <f>SUM(CA49:CA60)</f>
        <v>880483</v>
      </c>
      <c r="CB61" s="30"/>
      <c r="CC61" s="62" t="str">
        <f>BX61</f>
        <v>Totale 2015</v>
      </c>
      <c r="CD61" s="118">
        <f>SUM(CD49:CD60)</f>
        <v>10712</v>
      </c>
      <c r="CE61" s="118">
        <f>SUM(CE49:CE60)</f>
        <v>27311</v>
      </c>
      <c r="CF61" s="118">
        <f>SUM(CF49:CF60)</f>
        <v>103833</v>
      </c>
      <c r="CG61" s="30"/>
      <c r="CH61" s="62" t="str">
        <f>CC61</f>
        <v>Totale 2015</v>
      </c>
      <c r="CI61" s="118">
        <f>SUM(CI49:CI60)</f>
        <v>4103</v>
      </c>
      <c r="CJ61" s="118">
        <f>SUM(CJ49:CJ60)</f>
        <v>6543</v>
      </c>
      <c r="CK61" s="118">
        <f>SUM(CK49:CK60)</f>
        <v>2098</v>
      </c>
      <c r="CL61" s="30"/>
      <c r="CM61" s="62" t="str">
        <f>CH61</f>
        <v>Totale 2015</v>
      </c>
      <c r="CN61" s="118">
        <f>SUM(CN49:CN60)</f>
        <v>536</v>
      </c>
      <c r="CO61" s="118">
        <f>SUM(CO49:CO60)</f>
        <v>362</v>
      </c>
      <c r="CP61" s="118">
        <f>SUM(CP49:CP60)</f>
        <v>689</v>
      </c>
      <c r="CR61" s="62" t="str">
        <f>CM61</f>
        <v>Totale 2015</v>
      </c>
      <c r="CS61" s="42">
        <f>SUM(CS49:CS60)</f>
        <v>1549</v>
      </c>
      <c r="CT61" s="42">
        <f t="shared" ref="CT61:CU61" si="17">SUM(CT49:CT60)</f>
        <v>797</v>
      </c>
      <c r="CU61" s="42">
        <f t="shared" si="17"/>
        <v>1477</v>
      </c>
      <c r="CW61" s="62" t="str">
        <f>CR61</f>
        <v>Totale 2015</v>
      </c>
      <c r="CX61" s="42">
        <f>SUM(CX49:CX60)</f>
        <v>910</v>
      </c>
      <c r="CY61" s="42">
        <f t="shared" ref="CY61:CZ61" si="18">SUM(CY49:CY60)</f>
        <v>683</v>
      </c>
      <c r="CZ61" s="42">
        <f t="shared" si="18"/>
        <v>1292</v>
      </c>
      <c r="DB61" s="62" t="str">
        <f>CW61</f>
        <v>Totale 2015</v>
      </c>
      <c r="DC61" s="42">
        <f>SUM(DC49:DC60)</f>
        <v>26071</v>
      </c>
      <c r="DD61" s="42">
        <f t="shared" ref="DD61:DE61" si="19">SUM(DD49:DD60)</f>
        <v>19001</v>
      </c>
      <c r="DE61" s="42">
        <f t="shared" si="19"/>
        <v>36476</v>
      </c>
      <c r="DG61" s="62" t="str">
        <f>DB61</f>
        <v>Totale 2015</v>
      </c>
      <c r="DH61" s="42">
        <f>SUM(DH49:DH60)</f>
        <v>8309</v>
      </c>
      <c r="DI61" s="42">
        <f t="shared" ref="DI61:DJ61" si="20">SUM(DI49:DI60)</f>
        <v>17841</v>
      </c>
      <c r="DJ61" s="42">
        <f t="shared" si="20"/>
        <v>56992</v>
      </c>
      <c r="DL61" s="62" t="str">
        <f>DG61</f>
        <v>Totale 2015</v>
      </c>
      <c r="DM61" s="42">
        <f>SUM(DM49:DM60)</f>
        <v>752</v>
      </c>
      <c r="DN61" s="42">
        <f t="shared" ref="DN61:DO61" si="21">SUM(DN49:DN60)</f>
        <v>561</v>
      </c>
      <c r="DO61" s="42">
        <f t="shared" si="21"/>
        <v>1140</v>
      </c>
      <c r="DQ61" s="62" t="str">
        <f>DL61</f>
        <v>Totale 2015</v>
      </c>
      <c r="DR61" s="42">
        <f>SUM(DR49:DR60)</f>
        <v>155975</v>
      </c>
      <c r="DS61" s="42">
        <f t="shared" ref="DS61:DT61" si="22">SUM(DS49:DS60)</f>
        <v>138646</v>
      </c>
      <c r="DT61" s="42">
        <f t="shared" si="22"/>
        <v>274024</v>
      </c>
      <c r="DV61" s="62" t="str">
        <f>DQ61</f>
        <v>Totale 2015</v>
      </c>
      <c r="DW61" s="42">
        <f>SUM(DW49:DW60)</f>
        <v>584651</v>
      </c>
      <c r="DX61" s="42">
        <f t="shared" ref="DX61:DY61" si="23">SUM(DX49:DX60)</f>
        <v>428339</v>
      </c>
      <c r="DY61" s="42">
        <f t="shared" si="23"/>
        <v>736096</v>
      </c>
      <c r="EA61" s="62" t="str">
        <f>DV61</f>
        <v>Totale 2015</v>
      </c>
      <c r="EB61" s="42">
        <f>SUM(EB49:EB60)</f>
        <v>68513</v>
      </c>
      <c r="EC61" s="42">
        <f t="shared" ref="EC61:ED61" si="24">SUM(EC49:EC60)</f>
        <v>62066</v>
      </c>
      <c r="ED61" s="42">
        <f t="shared" si="24"/>
        <v>152578</v>
      </c>
      <c r="EF61" s="62" t="str">
        <f>EA61</f>
        <v>Totale 2015</v>
      </c>
      <c r="EG61" s="42">
        <f>SUM(EG49:EG60)</f>
        <v>133213</v>
      </c>
      <c r="EH61" s="42">
        <f t="shared" ref="EH61:EI61" si="25">SUM(EH49:EH60)</f>
        <v>65482</v>
      </c>
      <c r="EI61" s="42">
        <f t="shared" si="25"/>
        <v>156149</v>
      </c>
      <c r="EK61" s="62" t="str">
        <f>EF61</f>
        <v>Totale 2015</v>
      </c>
      <c r="EL61" s="42">
        <f>SUM(EL49:EL60)</f>
        <v>69375</v>
      </c>
      <c r="EM61" s="42">
        <f t="shared" ref="EM61:EN61" si="26">SUM(EM49:EM60)</f>
        <v>69898</v>
      </c>
      <c r="EN61" s="42">
        <f t="shared" si="26"/>
        <v>183934</v>
      </c>
      <c r="EP61" s="62" t="str">
        <f>EK61</f>
        <v>Totale 2015</v>
      </c>
      <c r="EQ61" s="42">
        <f>SUM(EQ49:EQ60)</f>
        <v>47781</v>
      </c>
      <c r="ER61" s="42">
        <f t="shared" ref="ER61:ES61" si="27">SUM(ER49:ER60)</f>
        <v>34861</v>
      </c>
      <c r="ES61" s="42">
        <f t="shared" si="27"/>
        <v>115028</v>
      </c>
      <c r="EU61" s="62" t="str">
        <f>EP61</f>
        <v>Totale 2015</v>
      </c>
      <c r="EV61" s="42">
        <f>SUM(EV49:EV60)</f>
        <v>31617</v>
      </c>
      <c r="EW61" s="42">
        <f t="shared" ref="EW61:EX61" si="28">SUM(EW49:EW60)</f>
        <v>27748</v>
      </c>
      <c r="EX61" s="42">
        <f t="shared" si="28"/>
        <v>122442</v>
      </c>
      <c r="EZ61" s="62" t="str">
        <f>EU61</f>
        <v>Totale 2015</v>
      </c>
      <c r="FA61" s="42">
        <f>SUM(FA49:FA60)</f>
        <v>76107</v>
      </c>
      <c r="FB61" s="42">
        <f t="shared" ref="FB61:FC61" si="29">SUM(FB49:FB60)</f>
        <v>63399</v>
      </c>
      <c r="FC61" s="42">
        <f t="shared" si="29"/>
        <v>145033</v>
      </c>
      <c r="FE61" s="62" t="str">
        <f>EZ61</f>
        <v>Totale 2015</v>
      </c>
      <c r="FF61" s="42">
        <f>SUM(FF49:FF60)</f>
        <v>10515</v>
      </c>
      <c r="FG61" s="42">
        <f t="shared" ref="FG61:FH61" si="30">SUM(FG49:FG60)</f>
        <v>5239</v>
      </c>
      <c r="FH61" s="42">
        <f t="shared" si="30"/>
        <v>19427</v>
      </c>
      <c r="FJ61" s="62" t="str">
        <f>FE61</f>
        <v>Totale 2015</v>
      </c>
      <c r="FK61" s="42">
        <f>SUM(FK49:FK60)</f>
        <v>956</v>
      </c>
      <c r="FL61" s="42">
        <f t="shared" ref="FL61:FM61" si="31">SUM(FL49:FL60)</f>
        <v>737</v>
      </c>
      <c r="FM61" s="42">
        <f t="shared" si="31"/>
        <v>3659</v>
      </c>
    </row>
    <row r="62" spans="1:169" ht="15">
      <c r="U62" s="184" t="s">
        <v>227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R62" s="30"/>
      <c r="CT62" s="170"/>
      <c r="CU62" s="30"/>
      <c r="CW62" s="30"/>
      <c r="CY62" s="170"/>
      <c r="CZ62" s="30"/>
      <c r="DB62" s="30"/>
      <c r="DD62" s="170"/>
      <c r="DE62" s="30"/>
    </row>
    <row r="63" spans="1:169" ht="15">
      <c r="A63" s="62">
        <v>2014</v>
      </c>
      <c r="B63" s="63" t="s">
        <v>22</v>
      </c>
      <c r="C63" s="63" t="s">
        <v>23</v>
      </c>
      <c r="D63" s="63" t="s">
        <v>24</v>
      </c>
      <c r="F63" s="62">
        <f>A63</f>
        <v>2014</v>
      </c>
      <c r="G63" s="63" t="s">
        <v>22</v>
      </c>
      <c r="H63" s="63" t="s">
        <v>23</v>
      </c>
      <c r="I63" s="63" t="s">
        <v>24</v>
      </c>
      <c r="K63" s="62">
        <f>F63</f>
        <v>2014</v>
      </c>
      <c r="L63" s="63" t="s">
        <v>22</v>
      </c>
      <c r="M63" s="63" t="s">
        <v>23</v>
      </c>
      <c r="N63" s="63" t="s">
        <v>24</v>
      </c>
      <c r="P63" s="62">
        <f>K63</f>
        <v>2014</v>
      </c>
      <c r="Q63" s="63" t="s">
        <v>22</v>
      </c>
      <c r="R63" s="63" t="s">
        <v>23</v>
      </c>
      <c r="S63" s="63" t="s">
        <v>24</v>
      </c>
      <c r="T63" s="186"/>
      <c r="U63" s="62">
        <f>P63</f>
        <v>2014</v>
      </c>
      <c r="V63" s="63" t="s">
        <v>22</v>
      </c>
      <c r="W63" s="63" t="s">
        <v>23</v>
      </c>
      <c r="X63" s="63" t="s">
        <v>24</v>
      </c>
      <c r="Z63" s="62">
        <f>P63</f>
        <v>2014</v>
      </c>
      <c r="AA63" s="63" t="s">
        <v>22</v>
      </c>
      <c r="AB63" s="63" t="s">
        <v>23</v>
      </c>
      <c r="AC63" s="63" t="s">
        <v>24</v>
      </c>
      <c r="AE63" s="62">
        <f>Z63</f>
        <v>2014</v>
      </c>
      <c r="AF63" s="63" t="s">
        <v>22</v>
      </c>
      <c r="AG63" s="63" t="s">
        <v>23</v>
      </c>
      <c r="AH63" s="63" t="s">
        <v>24</v>
      </c>
      <c r="AJ63" s="62">
        <f>AE63</f>
        <v>2014</v>
      </c>
      <c r="AK63" s="63" t="s">
        <v>22</v>
      </c>
      <c r="AL63" s="63" t="s">
        <v>23</v>
      </c>
      <c r="AM63" s="63" t="s">
        <v>24</v>
      </c>
      <c r="AO63" s="62">
        <f>AJ63</f>
        <v>2014</v>
      </c>
      <c r="AP63" s="63" t="s">
        <v>22</v>
      </c>
      <c r="AQ63" s="63" t="s">
        <v>23</v>
      </c>
      <c r="AR63" s="63" t="s">
        <v>24</v>
      </c>
      <c r="AT63" s="62">
        <f>AO63</f>
        <v>2014</v>
      </c>
      <c r="AU63" s="63" t="s">
        <v>22</v>
      </c>
      <c r="AV63" s="63" t="s">
        <v>23</v>
      </c>
      <c r="AW63" s="63" t="s">
        <v>24</v>
      </c>
      <c r="AY63" s="62">
        <f>AT63</f>
        <v>2014</v>
      </c>
      <c r="AZ63" s="63" t="s">
        <v>22</v>
      </c>
      <c r="BA63" s="63" t="s">
        <v>23</v>
      </c>
      <c r="BB63" s="63" t="s">
        <v>24</v>
      </c>
      <c r="BD63" s="62">
        <f>AY63</f>
        <v>2014</v>
      </c>
      <c r="BE63" s="63" t="s">
        <v>22</v>
      </c>
      <c r="BF63" s="63" t="s">
        <v>23</v>
      </c>
      <c r="BG63" s="63" t="s">
        <v>24</v>
      </c>
      <c r="BI63" s="62">
        <v>2014</v>
      </c>
      <c r="BJ63" s="63" t="s">
        <v>22</v>
      </c>
      <c r="BK63" s="63" t="s">
        <v>23</v>
      </c>
      <c r="BL63" s="63" t="s">
        <v>24</v>
      </c>
      <c r="BN63" s="62">
        <f>BI63</f>
        <v>2014</v>
      </c>
      <c r="BO63" s="63" t="s">
        <v>22</v>
      </c>
      <c r="BP63" s="63" t="s">
        <v>23</v>
      </c>
      <c r="BQ63" s="63" t="s">
        <v>24</v>
      </c>
      <c r="BS63" s="62">
        <f>BN63</f>
        <v>2014</v>
      </c>
      <c r="BT63" s="63" t="s">
        <v>22</v>
      </c>
      <c r="BU63" s="63" t="s">
        <v>23</v>
      </c>
      <c r="BV63" s="63" t="s">
        <v>24</v>
      </c>
      <c r="BX63" s="62">
        <v>2014</v>
      </c>
      <c r="BY63" s="63" t="s">
        <v>22</v>
      </c>
      <c r="BZ63" s="63" t="s">
        <v>23</v>
      </c>
      <c r="CA63" s="63" t="s">
        <v>24</v>
      </c>
      <c r="CB63" s="30"/>
      <c r="CC63" s="62">
        <f>BX63</f>
        <v>2014</v>
      </c>
      <c r="CD63" s="63" t="s">
        <v>22</v>
      </c>
      <c r="CE63" s="63" t="s">
        <v>23</v>
      </c>
      <c r="CF63" s="63" t="s">
        <v>24</v>
      </c>
      <c r="CG63" s="30"/>
      <c r="CH63" s="62">
        <f>CC63</f>
        <v>2014</v>
      </c>
      <c r="CI63" s="63" t="s">
        <v>22</v>
      </c>
      <c r="CJ63" s="63" t="s">
        <v>23</v>
      </c>
      <c r="CK63" s="63" t="s">
        <v>24</v>
      </c>
      <c r="CL63" s="30"/>
      <c r="CM63" s="62">
        <f>CH63</f>
        <v>2014</v>
      </c>
      <c r="CN63" s="63" t="s">
        <v>22</v>
      </c>
      <c r="CO63" s="63" t="s">
        <v>23</v>
      </c>
      <c r="CP63" s="63" t="s">
        <v>24</v>
      </c>
    </row>
    <row r="64" spans="1:169" ht="15">
      <c r="A64" s="43" t="s">
        <v>25</v>
      </c>
      <c r="B64" s="121">
        <v>108936</v>
      </c>
      <c r="C64" s="122">
        <v>74128</v>
      </c>
      <c r="D64" s="123">
        <v>154414</v>
      </c>
      <c r="F64" s="43" t="s">
        <v>25</v>
      </c>
      <c r="G64" s="41">
        <v>512536</v>
      </c>
      <c r="H64" s="41">
        <v>302060</v>
      </c>
      <c r="I64" s="41">
        <v>577600</v>
      </c>
      <c r="J64" s="161"/>
      <c r="K64" s="43" t="s">
        <v>25</v>
      </c>
      <c r="L64" s="124">
        <v>308677.5</v>
      </c>
      <c r="M64" s="124">
        <v>182362.5</v>
      </c>
      <c r="N64" s="124">
        <v>340267.5</v>
      </c>
      <c r="P64" s="43" t="s">
        <v>25</v>
      </c>
      <c r="Q64" s="41">
        <v>8303</v>
      </c>
      <c r="R64" s="118">
        <v>6004</v>
      </c>
      <c r="S64" s="41">
        <v>13378</v>
      </c>
      <c r="T64" s="6"/>
      <c r="U64" s="43" t="s">
        <v>25</v>
      </c>
      <c r="V64" s="41">
        <v>3574.2</v>
      </c>
      <c r="W64" s="118">
        <v>1973.9999999999998</v>
      </c>
      <c r="X64" s="41">
        <v>5462.0999999999995</v>
      </c>
      <c r="Z64" s="43" t="s">
        <v>25</v>
      </c>
      <c r="AA64" s="41">
        <v>4739</v>
      </c>
      <c r="AB64" s="118">
        <v>2769</v>
      </c>
      <c r="AC64" s="41">
        <v>4826</v>
      </c>
      <c r="AE64" s="43" t="s">
        <v>25</v>
      </c>
      <c r="AF64" s="41">
        <v>1626</v>
      </c>
      <c r="AG64" s="118">
        <v>1340</v>
      </c>
      <c r="AH64" s="41">
        <v>2776</v>
      </c>
      <c r="AJ64" s="43" t="s">
        <v>25</v>
      </c>
      <c r="AK64" s="41">
        <v>1565</v>
      </c>
      <c r="AL64" s="118">
        <v>2980</v>
      </c>
      <c r="AM64" s="41">
        <v>6481</v>
      </c>
      <c r="AO64" s="43" t="s">
        <v>25</v>
      </c>
      <c r="AP64" s="41">
        <v>3089</v>
      </c>
      <c r="AQ64" s="118">
        <v>7156</v>
      </c>
      <c r="AR64" s="41">
        <v>15821</v>
      </c>
      <c r="AT64" s="43" t="s">
        <v>25</v>
      </c>
      <c r="AU64" s="41">
        <v>2632</v>
      </c>
      <c r="AV64" s="118">
        <v>3702</v>
      </c>
      <c r="AW64" s="41">
        <v>7862</v>
      </c>
      <c r="AY64" s="43" t="s">
        <v>25</v>
      </c>
      <c r="AZ64" s="41">
        <v>3390</v>
      </c>
      <c r="BA64" s="118">
        <v>7822</v>
      </c>
      <c r="BB64" s="41">
        <v>16874</v>
      </c>
      <c r="BD64" s="43" t="s">
        <v>25</v>
      </c>
      <c r="BE64" s="41">
        <v>3817</v>
      </c>
      <c r="BF64" s="118">
        <v>2070</v>
      </c>
      <c r="BG64" s="41">
        <v>3297</v>
      </c>
      <c r="BI64" s="43" t="s">
        <v>25</v>
      </c>
      <c r="BJ64" s="41">
        <v>12703</v>
      </c>
      <c r="BK64" s="118">
        <v>6482</v>
      </c>
      <c r="BL64" s="41">
        <v>12632</v>
      </c>
      <c r="BN64" s="43" t="s">
        <v>25</v>
      </c>
      <c r="BO64" s="41">
        <v>124</v>
      </c>
      <c r="BP64" s="118">
        <v>41</v>
      </c>
      <c r="BQ64" s="41">
        <v>64</v>
      </c>
      <c r="BS64" s="43" t="s">
        <v>25</v>
      </c>
      <c r="BT64" s="41">
        <v>948</v>
      </c>
      <c r="BU64" s="118">
        <v>472</v>
      </c>
      <c r="BV64" s="41">
        <v>705</v>
      </c>
      <c r="BX64" s="43" t="s">
        <v>25</v>
      </c>
      <c r="BY64" s="41">
        <f>37764</f>
        <v>37764</v>
      </c>
      <c r="BZ64" s="118">
        <f>36118</f>
        <v>36118</v>
      </c>
      <c r="CA64" s="41">
        <f>85739</f>
        <v>85739</v>
      </c>
      <c r="CB64" s="30"/>
      <c r="CC64" s="43" t="s">
        <v>25</v>
      </c>
      <c r="CD64" s="41">
        <v>1148</v>
      </c>
      <c r="CE64" s="118">
        <f>2339</f>
        <v>2339</v>
      </c>
      <c r="CF64" s="41">
        <f>9689</f>
        <v>9689</v>
      </c>
      <c r="CG64" s="30"/>
      <c r="CH64" s="43" t="s">
        <v>25</v>
      </c>
      <c r="CI64" s="41">
        <v>84</v>
      </c>
      <c r="CJ64" s="118">
        <v>45</v>
      </c>
      <c r="CK64" s="41">
        <v>85</v>
      </c>
      <c r="CL64" s="30"/>
      <c r="CM64" s="43" t="s">
        <v>25</v>
      </c>
      <c r="CN64" s="41">
        <v>52</v>
      </c>
      <c r="CO64" s="118">
        <v>36</v>
      </c>
      <c r="CP64" s="41">
        <v>74</v>
      </c>
    </row>
    <row r="65" spans="1:94" ht="15">
      <c r="A65" s="43" t="s">
        <v>26</v>
      </c>
      <c r="B65" s="121">
        <v>107688</v>
      </c>
      <c r="C65" s="122">
        <v>73948</v>
      </c>
      <c r="D65" s="123">
        <v>135052</v>
      </c>
      <c r="F65" s="43" t="s">
        <v>26</v>
      </c>
      <c r="G65" s="41">
        <v>497428</v>
      </c>
      <c r="H65" s="41">
        <v>299196</v>
      </c>
      <c r="I65" s="41">
        <v>514972</v>
      </c>
      <c r="J65" s="161"/>
      <c r="K65" s="43" t="s">
        <v>26</v>
      </c>
      <c r="L65" s="124">
        <v>299842.5</v>
      </c>
      <c r="M65" s="124">
        <v>177750</v>
      </c>
      <c r="N65" s="124">
        <v>292725</v>
      </c>
      <c r="P65" s="43" t="s">
        <v>26</v>
      </c>
      <c r="Q65" s="41">
        <v>6388</v>
      </c>
      <c r="R65" s="118">
        <v>5147</v>
      </c>
      <c r="S65" s="41">
        <v>10063</v>
      </c>
      <c r="T65" s="6"/>
      <c r="U65" s="43" t="s">
        <v>26</v>
      </c>
      <c r="V65" s="41">
        <v>3710.7</v>
      </c>
      <c r="W65" s="118">
        <v>1774.5</v>
      </c>
      <c r="X65" s="41">
        <v>4946.8999999999996</v>
      </c>
      <c r="Z65" s="43" t="s">
        <v>26</v>
      </c>
      <c r="AA65" s="41">
        <v>4879</v>
      </c>
      <c r="AB65" s="118">
        <v>2473</v>
      </c>
      <c r="AC65" s="41">
        <v>4003</v>
      </c>
      <c r="AE65" s="43" t="s">
        <v>26</v>
      </c>
      <c r="AF65" s="41">
        <v>1432</v>
      </c>
      <c r="AG65" s="118">
        <v>1184</v>
      </c>
      <c r="AH65" s="41">
        <v>2138</v>
      </c>
      <c r="AJ65" s="43" t="s">
        <v>26</v>
      </c>
      <c r="AK65" s="41">
        <v>1135</v>
      </c>
      <c r="AL65" s="118">
        <v>2720</v>
      </c>
      <c r="AM65" s="41">
        <v>5584</v>
      </c>
      <c r="AO65" s="43" t="s">
        <v>26</v>
      </c>
      <c r="AP65" s="41">
        <v>2124</v>
      </c>
      <c r="AQ65" s="118">
        <v>6446</v>
      </c>
      <c r="AR65" s="41">
        <v>13670</v>
      </c>
      <c r="AT65" s="43" t="s">
        <v>26</v>
      </c>
      <c r="AU65" s="41">
        <v>1920</v>
      </c>
      <c r="AV65" s="118">
        <v>3307</v>
      </c>
      <c r="AW65" s="41">
        <v>6652</v>
      </c>
      <c r="AY65" s="43" t="s">
        <v>26</v>
      </c>
      <c r="AZ65" s="41">
        <v>1927</v>
      </c>
      <c r="BA65" s="118">
        <v>6793</v>
      </c>
      <c r="BB65" s="41">
        <v>14242</v>
      </c>
      <c r="BD65" s="43" t="s">
        <v>26</v>
      </c>
      <c r="BE65" s="41">
        <v>3412</v>
      </c>
      <c r="BF65" s="118">
        <v>1926</v>
      </c>
      <c r="BG65" s="41">
        <v>2443</v>
      </c>
      <c r="BI65" s="43" t="s">
        <v>26</v>
      </c>
      <c r="BJ65" s="41">
        <v>11631</v>
      </c>
      <c r="BK65" s="118">
        <v>5941</v>
      </c>
      <c r="BL65" s="41">
        <v>10040</v>
      </c>
      <c r="BN65" s="43" t="s">
        <v>26</v>
      </c>
      <c r="BO65" s="41">
        <v>113</v>
      </c>
      <c r="BP65" s="118">
        <v>40</v>
      </c>
      <c r="BQ65" s="41">
        <v>54</v>
      </c>
      <c r="BS65" s="43" t="s">
        <v>26</v>
      </c>
      <c r="BT65" s="41">
        <v>945</v>
      </c>
      <c r="BU65" s="118">
        <v>480</v>
      </c>
      <c r="BV65" s="41">
        <v>618</v>
      </c>
      <c r="BX65" s="43" t="s">
        <v>26</v>
      </c>
      <c r="BY65" s="41">
        <f>33041</f>
        <v>33041</v>
      </c>
      <c r="BZ65" s="118">
        <v>33048</v>
      </c>
      <c r="CA65" s="41">
        <v>76396</v>
      </c>
      <c r="CB65" s="30"/>
      <c r="CC65" s="43" t="s">
        <v>26</v>
      </c>
      <c r="CD65" s="41">
        <f>909</f>
        <v>909</v>
      </c>
      <c r="CE65" s="118">
        <f>2042</f>
        <v>2042</v>
      </c>
      <c r="CF65" s="41">
        <f>8264</f>
        <v>8264</v>
      </c>
      <c r="CG65" s="30"/>
      <c r="CH65" s="43" t="s">
        <v>26</v>
      </c>
      <c r="CI65" s="41">
        <v>77</v>
      </c>
      <c r="CJ65" s="118">
        <v>45</v>
      </c>
      <c r="CK65" s="41">
        <v>78</v>
      </c>
      <c r="CL65" s="30"/>
      <c r="CM65" s="43" t="s">
        <v>26</v>
      </c>
      <c r="CN65" s="41">
        <v>48</v>
      </c>
      <c r="CO65" s="118">
        <v>35</v>
      </c>
      <c r="CP65" s="41">
        <v>61</v>
      </c>
    </row>
    <row r="66" spans="1:94" ht="15">
      <c r="A66" s="43" t="s">
        <v>27</v>
      </c>
      <c r="B66" s="121">
        <v>112942</v>
      </c>
      <c r="C66" s="122">
        <v>84522</v>
      </c>
      <c r="D66" s="123">
        <v>154584</v>
      </c>
      <c r="E66" s="160"/>
      <c r="F66" s="43" t="s">
        <v>27</v>
      </c>
      <c r="G66" s="41">
        <v>509744</v>
      </c>
      <c r="H66" s="41">
        <v>340500</v>
      </c>
      <c r="I66" s="41">
        <v>588292</v>
      </c>
      <c r="K66" s="43" t="s">
        <v>27</v>
      </c>
      <c r="L66" s="124">
        <v>304815</v>
      </c>
      <c r="M66" s="124">
        <v>192960</v>
      </c>
      <c r="N66" s="124">
        <v>315435</v>
      </c>
      <c r="P66" s="43" t="s">
        <v>27</v>
      </c>
      <c r="Q66" s="41">
        <v>6078</v>
      </c>
      <c r="R66" s="118">
        <v>5644</v>
      </c>
      <c r="S66" s="41">
        <v>11312</v>
      </c>
      <c r="T66" s="6"/>
      <c r="U66" s="43" t="s">
        <v>27</v>
      </c>
      <c r="V66" s="41">
        <v>3569.2999999999997</v>
      </c>
      <c r="W66" s="118">
        <v>1713.6</v>
      </c>
      <c r="X66" s="41">
        <v>3118.5</v>
      </c>
      <c r="Z66" s="43" t="s">
        <v>27</v>
      </c>
      <c r="AA66" s="41">
        <v>4936</v>
      </c>
      <c r="AB66" s="118">
        <v>2420</v>
      </c>
      <c r="AC66" s="41">
        <v>4229</v>
      </c>
      <c r="AE66" s="43" t="s">
        <v>27</v>
      </c>
      <c r="AF66" s="41">
        <v>1140</v>
      </c>
      <c r="AG66" s="118">
        <v>1102</v>
      </c>
      <c r="AH66" s="41">
        <v>2056</v>
      </c>
      <c r="AJ66" s="43" t="s">
        <v>27</v>
      </c>
      <c r="AK66" s="41">
        <v>416</v>
      </c>
      <c r="AL66" s="118">
        <v>2415</v>
      </c>
      <c r="AM66" s="41">
        <v>5740</v>
      </c>
      <c r="AO66" s="43" t="s">
        <v>27</v>
      </c>
      <c r="AP66" s="41">
        <v>883</v>
      </c>
      <c r="AQ66" s="118">
        <v>5915</v>
      </c>
      <c r="AR66" s="41">
        <v>14099</v>
      </c>
      <c r="AT66" s="43" t="s">
        <v>27</v>
      </c>
      <c r="AU66" s="41">
        <v>884</v>
      </c>
      <c r="AV66" s="118">
        <v>2773</v>
      </c>
      <c r="AW66" s="41">
        <v>6514</v>
      </c>
      <c r="AY66" s="43" t="s">
        <v>27</v>
      </c>
      <c r="AZ66" s="41">
        <v>662</v>
      </c>
      <c r="BA66" s="118">
        <v>6154</v>
      </c>
      <c r="BB66" s="41">
        <v>14768</v>
      </c>
      <c r="BD66" s="43" t="s">
        <v>27</v>
      </c>
      <c r="BE66" s="41">
        <v>2347</v>
      </c>
      <c r="BF66" s="118">
        <v>1785</v>
      </c>
      <c r="BG66" s="41">
        <v>2244</v>
      </c>
      <c r="BI66" s="43" t="s">
        <v>27</v>
      </c>
      <c r="BJ66" s="41">
        <v>9777</v>
      </c>
      <c r="BK66" s="118">
        <v>5982</v>
      </c>
      <c r="BL66" s="41">
        <v>10621</v>
      </c>
      <c r="BN66" s="43" t="s">
        <v>27</v>
      </c>
      <c r="BO66" s="41">
        <v>90</v>
      </c>
      <c r="BP66" s="118">
        <v>39</v>
      </c>
      <c r="BQ66" s="41">
        <v>60</v>
      </c>
      <c r="BS66" s="43" t="s">
        <v>27</v>
      </c>
      <c r="BT66" s="41">
        <v>1455</v>
      </c>
      <c r="BU66" s="118">
        <v>794</v>
      </c>
      <c r="BV66" s="41">
        <v>1032</v>
      </c>
      <c r="BX66" s="43" t="s">
        <v>27</v>
      </c>
      <c r="BY66" s="41">
        <v>28619</v>
      </c>
      <c r="BZ66" s="118">
        <v>31874</v>
      </c>
      <c r="CA66" s="41">
        <v>83175</v>
      </c>
      <c r="CB66" s="30"/>
      <c r="CC66" s="43" t="s">
        <v>27</v>
      </c>
      <c r="CD66" s="41">
        <v>711</v>
      </c>
      <c r="CE66" s="118">
        <v>2054</v>
      </c>
      <c r="CF66" s="41">
        <v>8960</v>
      </c>
      <c r="CG66" s="30"/>
      <c r="CH66" s="43" t="s">
        <v>27</v>
      </c>
      <c r="CI66" s="41">
        <v>79</v>
      </c>
      <c r="CJ66" s="118">
        <v>51</v>
      </c>
      <c r="CK66" s="41">
        <v>88</v>
      </c>
      <c r="CL66" s="30"/>
      <c r="CM66" s="43" t="s">
        <v>27</v>
      </c>
      <c r="CN66" s="41">
        <v>50</v>
      </c>
      <c r="CO66" s="118">
        <v>38</v>
      </c>
      <c r="CP66" s="41">
        <v>67</v>
      </c>
    </row>
    <row r="67" spans="1:94" ht="15">
      <c r="A67" s="43" t="s">
        <v>28</v>
      </c>
      <c r="B67" s="121">
        <v>116634</v>
      </c>
      <c r="C67" s="122">
        <v>81092</v>
      </c>
      <c r="D67" s="123">
        <v>164116</v>
      </c>
      <c r="E67" s="160"/>
      <c r="F67" s="43" t="s">
        <v>28</v>
      </c>
      <c r="G67" s="41">
        <v>484938</v>
      </c>
      <c r="H67" s="41">
        <v>329137</v>
      </c>
      <c r="I67" s="41">
        <v>637457</v>
      </c>
      <c r="K67" s="43" t="s">
        <v>28</v>
      </c>
      <c r="L67" s="124">
        <v>302152.5</v>
      </c>
      <c r="M67" s="124">
        <v>177967.5</v>
      </c>
      <c r="N67" s="124">
        <v>326970</v>
      </c>
      <c r="P67" s="43" t="s">
        <v>28</v>
      </c>
      <c r="Q67" s="41">
        <v>6866</v>
      </c>
      <c r="R67" s="118">
        <v>5572</v>
      </c>
      <c r="S67" s="41">
        <v>14471</v>
      </c>
      <c r="T67" s="6"/>
      <c r="U67" s="43" t="s">
        <v>28</v>
      </c>
      <c r="V67" s="41">
        <v>2340.1</v>
      </c>
      <c r="W67" s="118">
        <v>1437.8</v>
      </c>
      <c r="X67" s="41">
        <v>2657.8999999999996</v>
      </c>
      <c r="Z67" s="43" t="s">
        <v>28</v>
      </c>
      <c r="AA67" s="41">
        <v>3126</v>
      </c>
      <c r="AB67" s="118">
        <v>1706</v>
      </c>
      <c r="AC67" s="41">
        <v>3828</v>
      </c>
      <c r="AE67" s="43" t="s">
        <v>28</v>
      </c>
      <c r="AF67" s="41">
        <v>1013</v>
      </c>
      <c r="AG67" s="118">
        <v>881</v>
      </c>
      <c r="AH67" s="41">
        <v>1991</v>
      </c>
      <c r="AJ67" s="43" t="s">
        <v>28</v>
      </c>
      <c r="AK67" s="41">
        <v>230</v>
      </c>
      <c r="AL67" s="118">
        <v>1640</v>
      </c>
      <c r="AM67" s="41">
        <v>5265</v>
      </c>
      <c r="AO67" s="43" t="s">
        <v>28</v>
      </c>
      <c r="AP67" s="41">
        <v>377</v>
      </c>
      <c r="AQ67" s="118">
        <v>3782</v>
      </c>
      <c r="AR67" s="41">
        <v>12910</v>
      </c>
      <c r="AT67" s="43" t="s">
        <v>28</v>
      </c>
      <c r="AU67" s="41">
        <v>477</v>
      </c>
      <c r="AV67" s="118">
        <v>1865</v>
      </c>
      <c r="AW67" s="41">
        <v>5894</v>
      </c>
      <c r="AY67" s="43" t="s">
        <v>28</v>
      </c>
      <c r="AZ67" s="41">
        <v>178</v>
      </c>
      <c r="BA67" s="118">
        <v>3800</v>
      </c>
      <c r="BB67" s="41">
        <v>13941</v>
      </c>
      <c r="BD67" s="43" t="s">
        <v>28</v>
      </c>
      <c r="BE67" s="41">
        <v>511</v>
      </c>
      <c r="BF67" s="118">
        <v>1026</v>
      </c>
      <c r="BG67" s="41">
        <v>1681</v>
      </c>
      <c r="BI67" s="43" t="s">
        <v>28</v>
      </c>
      <c r="BJ67" s="41">
        <v>7901</v>
      </c>
      <c r="BK67" s="118">
        <v>4591</v>
      </c>
      <c r="BL67" s="41">
        <v>9657</v>
      </c>
      <c r="BN67" s="43" t="s">
        <v>28</v>
      </c>
      <c r="BO67" s="41">
        <v>117</v>
      </c>
      <c r="BP67" s="118">
        <v>38</v>
      </c>
      <c r="BQ67" s="41">
        <v>62</v>
      </c>
      <c r="BS67" s="43" t="s">
        <v>28</v>
      </c>
      <c r="BT67" s="41">
        <v>1445</v>
      </c>
      <c r="BU67" s="118">
        <v>734</v>
      </c>
      <c r="BV67" s="41">
        <v>1103</v>
      </c>
      <c r="BX67" s="43" t="s">
        <v>28</v>
      </c>
      <c r="BY67" s="41">
        <f>18542</f>
        <v>18542</v>
      </c>
      <c r="BZ67" s="118">
        <f>23577</f>
        <v>23577</v>
      </c>
      <c r="CA67" s="41">
        <f>76858</f>
        <v>76858</v>
      </c>
      <c r="CB67" s="30"/>
      <c r="CC67" s="43" t="s">
        <v>28</v>
      </c>
      <c r="CD67" s="41">
        <f>581</f>
        <v>581</v>
      </c>
      <c r="CE67" s="118">
        <f>1681</f>
        <v>1681</v>
      </c>
      <c r="CF67" s="41">
        <f>8700</f>
        <v>8700</v>
      </c>
      <c r="CG67" s="30"/>
      <c r="CH67" s="43" t="s">
        <v>28</v>
      </c>
      <c r="CI67" s="41">
        <v>73</v>
      </c>
      <c r="CJ67" s="118">
        <v>41</v>
      </c>
      <c r="CK67" s="41">
        <v>83</v>
      </c>
      <c r="CL67" s="30"/>
      <c r="CM67" s="43" t="s">
        <v>28</v>
      </c>
      <c r="CN67" s="41">
        <v>47</v>
      </c>
      <c r="CO67" s="118">
        <v>33</v>
      </c>
      <c r="CP67" s="41">
        <v>68</v>
      </c>
    </row>
    <row r="68" spans="1:94" ht="15">
      <c r="A68" s="43" t="s">
        <v>29</v>
      </c>
      <c r="B68" s="121">
        <v>139492</v>
      </c>
      <c r="C68" s="122">
        <v>101806</v>
      </c>
      <c r="D68" s="123">
        <v>175346</v>
      </c>
      <c r="F68" s="43" t="s">
        <v>29</v>
      </c>
      <c r="G68" s="41">
        <v>560670</v>
      </c>
      <c r="H68" s="41">
        <v>405992</v>
      </c>
      <c r="I68" s="41">
        <v>694589</v>
      </c>
      <c r="K68" s="43" t="s">
        <v>29</v>
      </c>
      <c r="L68" s="124">
        <v>338512.5</v>
      </c>
      <c r="M68" s="124">
        <v>217312.5</v>
      </c>
      <c r="N68" s="124">
        <v>339705</v>
      </c>
      <c r="P68" s="43" t="s">
        <v>29</v>
      </c>
      <c r="Q68" s="41">
        <v>6365</v>
      </c>
      <c r="R68" s="118">
        <v>5326</v>
      </c>
      <c r="S68" s="41">
        <v>11764</v>
      </c>
      <c r="T68" s="6"/>
      <c r="U68" s="43" t="s">
        <v>29</v>
      </c>
      <c r="V68" s="41">
        <v>1134</v>
      </c>
      <c r="W68" s="118">
        <v>717.5</v>
      </c>
      <c r="X68" s="41">
        <v>1632.3999999999999</v>
      </c>
      <c r="Z68" s="43" t="s">
        <v>29</v>
      </c>
      <c r="AA68" s="41">
        <v>1645</v>
      </c>
      <c r="AB68" s="118">
        <v>1261</v>
      </c>
      <c r="AC68" s="41">
        <v>2686</v>
      </c>
      <c r="AE68" s="43" t="s">
        <v>29</v>
      </c>
      <c r="AF68" s="41">
        <v>915</v>
      </c>
      <c r="AG68" s="118">
        <v>834</v>
      </c>
      <c r="AH68" s="41">
        <v>1742</v>
      </c>
      <c r="AJ68" s="43" t="s">
        <v>29</v>
      </c>
      <c r="AK68" s="41">
        <v>186</v>
      </c>
      <c r="AL68" s="118">
        <v>1352</v>
      </c>
      <c r="AM68" s="41">
        <v>4851</v>
      </c>
      <c r="AO68" s="43" t="s">
        <v>29</v>
      </c>
      <c r="AP68" s="41">
        <v>239</v>
      </c>
      <c r="AQ68" s="118">
        <v>2993</v>
      </c>
      <c r="AR68" s="41">
        <v>11265</v>
      </c>
      <c r="AT68" s="43" t="s">
        <v>29</v>
      </c>
      <c r="AU68" s="41">
        <v>441</v>
      </c>
      <c r="AV68" s="118">
        <v>1616</v>
      </c>
      <c r="AW68" s="41">
        <v>5200</v>
      </c>
      <c r="AY68" s="43" t="s">
        <v>29</v>
      </c>
      <c r="AZ68" s="41">
        <v>192</v>
      </c>
      <c r="BA68" s="118">
        <v>3232</v>
      </c>
      <c r="BB68" s="41">
        <v>12595</v>
      </c>
      <c r="BD68" s="43" t="s">
        <v>29</v>
      </c>
      <c r="BE68" s="41">
        <v>1169</v>
      </c>
      <c r="BF68" s="118">
        <v>838</v>
      </c>
      <c r="BG68" s="41">
        <v>1338</v>
      </c>
      <c r="BI68" s="43" t="s">
        <v>29</v>
      </c>
      <c r="BJ68" s="41">
        <v>7869</v>
      </c>
      <c r="BK68" s="118">
        <v>4611</v>
      </c>
      <c r="BL68" s="41">
        <v>8881</v>
      </c>
      <c r="BN68" s="43" t="s">
        <v>29</v>
      </c>
      <c r="BO68" s="41">
        <v>672</v>
      </c>
      <c r="BP68" s="118">
        <v>442</v>
      </c>
      <c r="BQ68" s="41">
        <v>607</v>
      </c>
      <c r="BS68" s="43" t="s">
        <v>29</v>
      </c>
      <c r="BT68" s="41">
        <v>832</v>
      </c>
      <c r="BU68" s="118">
        <v>454</v>
      </c>
      <c r="BV68" s="41">
        <v>591</v>
      </c>
      <c r="BX68" s="43" t="s">
        <v>29</v>
      </c>
      <c r="BY68" s="41">
        <f>16200</f>
        <v>16200</v>
      </c>
      <c r="BZ68" s="118">
        <f>20629</f>
        <v>20629</v>
      </c>
      <c r="CA68" s="41">
        <f>65160</f>
        <v>65160</v>
      </c>
      <c r="CB68" s="30"/>
      <c r="CC68" s="43" t="s">
        <v>29</v>
      </c>
      <c r="CD68" s="41">
        <f>588</f>
        <v>588</v>
      </c>
      <c r="CE68" s="118">
        <f>1686</f>
        <v>1686</v>
      </c>
      <c r="CF68" s="41">
        <f>8616</f>
        <v>8616</v>
      </c>
      <c r="CG68" s="30"/>
      <c r="CH68" s="43" t="s">
        <v>29</v>
      </c>
      <c r="CI68" s="41">
        <v>73</v>
      </c>
      <c r="CJ68" s="118">
        <v>45</v>
      </c>
      <c r="CK68" s="41">
        <v>81</v>
      </c>
      <c r="CL68" s="30"/>
      <c r="CM68" s="43" t="s">
        <v>29</v>
      </c>
      <c r="CN68" s="41">
        <v>45</v>
      </c>
      <c r="CO68" s="118">
        <v>34</v>
      </c>
      <c r="CP68" s="41">
        <v>62</v>
      </c>
    </row>
    <row r="69" spans="1:94" ht="15">
      <c r="A69" s="43" t="s">
        <v>30</v>
      </c>
      <c r="B69" s="121">
        <v>159474</v>
      </c>
      <c r="C69" s="122">
        <v>106020</v>
      </c>
      <c r="D69" s="123">
        <v>196544</v>
      </c>
      <c r="F69" s="43" t="s">
        <v>30</v>
      </c>
      <c r="G69" s="41">
        <v>667402</v>
      </c>
      <c r="H69" s="41">
        <v>450130</v>
      </c>
      <c r="I69" s="41">
        <v>843975</v>
      </c>
      <c r="K69" s="43" t="s">
        <v>30</v>
      </c>
      <c r="L69" s="124">
        <v>404302.5</v>
      </c>
      <c r="M69" s="124">
        <v>228330</v>
      </c>
      <c r="N69" s="124">
        <v>387990</v>
      </c>
      <c r="P69" s="43" t="s">
        <v>30</v>
      </c>
      <c r="Q69" s="41">
        <v>7666</v>
      </c>
      <c r="R69" s="118">
        <v>6831</v>
      </c>
      <c r="S69" s="41">
        <v>15206</v>
      </c>
      <c r="T69" s="6"/>
      <c r="U69" s="43" t="s">
        <v>30</v>
      </c>
      <c r="V69" s="41">
        <v>1001.6999999999999</v>
      </c>
      <c r="W69" s="118">
        <v>667.09999999999991</v>
      </c>
      <c r="X69" s="41">
        <v>1570.1</v>
      </c>
      <c r="Z69" s="43" t="s">
        <v>30</v>
      </c>
      <c r="AA69" s="41">
        <v>1637</v>
      </c>
      <c r="AB69" s="118">
        <v>1255</v>
      </c>
      <c r="AC69" s="41">
        <v>2674</v>
      </c>
      <c r="AE69" s="43" t="s">
        <v>30</v>
      </c>
      <c r="AF69" s="41">
        <v>812</v>
      </c>
      <c r="AG69" s="118">
        <v>690</v>
      </c>
      <c r="AH69" s="41">
        <v>1634</v>
      </c>
      <c r="AJ69" s="43" t="s">
        <v>30</v>
      </c>
      <c r="AK69" s="41">
        <v>164</v>
      </c>
      <c r="AL69" s="118">
        <v>1157</v>
      </c>
      <c r="AM69" s="41">
        <v>4515</v>
      </c>
      <c r="AO69" s="43" t="s">
        <v>30</v>
      </c>
      <c r="AP69" s="41">
        <v>219</v>
      </c>
      <c r="AQ69" s="118">
        <v>2587</v>
      </c>
      <c r="AR69" s="41">
        <v>10693</v>
      </c>
      <c r="AT69" s="43" t="s">
        <v>30</v>
      </c>
      <c r="AU69" s="41">
        <v>667</v>
      </c>
      <c r="AV69" s="118">
        <v>1457</v>
      </c>
      <c r="AW69" s="41">
        <v>4989</v>
      </c>
      <c r="AY69" s="43" t="s">
        <v>30</v>
      </c>
      <c r="AZ69" s="41">
        <v>176</v>
      </c>
      <c r="BA69" s="118">
        <v>2570</v>
      </c>
      <c r="BB69" s="41">
        <v>11570</v>
      </c>
      <c r="BD69" s="43" t="s">
        <v>30</v>
      </c>
      <c r="BE69" s="41">
        <v>1284</v>
      </c>
      <c r="BF69" s="118">
        <v>877</v>
      </c>
      <c r="BG69" s="41">
        <v>1616</v>
      </c>
      <c r="BI69" s="43" t="s">
        <v>30</v>
      </c>
      <c r="BJ69" s="41">
        <v>9754</v>
      </c>
      <c r="BK69" s="118">
        <v>4660</v>
      </c>
      <c r="BL69" s="41">
        <v>9400</v>
      </c>
      <c r="BN69" s="43" t="s">
        <v>30</v>
      </c>
      <c r="BO69" s="41">
        <v>167</v>
      </c>
      <c r="BP69" s="118">
        <v>31</v>
      </c>
      <c r="BQ69" s="41">
        <v>128</v>
      </c>
      <c r="BS69" s="43" t="s">
        <v>30</v>
      </c>
      <c r="BT69" s="41">
        <v>824</v>
      </c>
      <c r="BU69" s="118">
        <v>418</v>
      </c>
      <c r="BV69" s="41">
        <v>629</v>
      </c>
      <c r="BX69" s="43" t="s">
        <v>30</v>
      </c>
      <c r="BY69" s="41">
        <f>38430</f>
        <v>38430</v>
      </c>
      <c r="BZ69" s="118">
        <f>22417</f>
        <v>22417</v>
      </c>
      <c r="CA69" s="41">
        <f>65455</f>
        <v>65455</v>
      </c>
      <c r="CB69" s="30"/>
      <c r="CC69" s="43" t="s">
        <v>30</v>
      </c>
      <c r="CD69" s="41">
        <f>619</f>
        <v>619</v>
      </c>
      <c r="CE69" s="118">
        <f>1442</f>
        <v>1442</v>
      </c>
      <c r="CF69" s="41">
        <f>8303</f>
        <v>8303</v>
      </c>
      <c r="CG69" s="30"/>
      <c r="CH69" s="43" t="s">
        <v>30</v>
      </c>
      <c r="CI69" s="41">
        <v>66</v>
      </c>
      <c r="CJ69" s="118">
        <v>39</v>
      </c>
      <c r="CK69" s="41">
        <v>74</v>
      </c>
      <c r="CL69" s="30"/>
      <c r="CM69" s="43" t="s">
        <v>30</v>
      </c>
      <c r="CN69" s="41">
        <v>37</v>
      </c>
      <c r="CO69" s="118">
        <v>26</v>
      </c>
      <c r="CP69" s="41">
        <v>55</v>
      </c>
    </row>
    <row r="70" spans="1:94" ht="15">
      <c r="A70" s="43" t="s">
        <v>31</v>
      </c>
      <c r="B70" s="121">
        <v>186150</v>
      </c>
      <c r="C70" s="122">
        <v>116804</v>
      </c>
      <c r="D70" s="123">
        <v>193542</v>
      </c>
      <c r="F70" s="43" t="s">
        <v>31</v>
      </c>
      <c r="G70" s="41">
        <v>757725</v>
      </c>
      <c r="H70" s="41">
        <v>498286</v>
      </c>
      <c r="I70" s="41">
        <v>847258</v>
      </c>
      <c r="K70" s="43" t="s">
        <v>31</v>
      </c>
      <c r="L70" s="124">
        <v>465727.5</v>
      </c>
      <c r="M70" s="124">
        <v>245115</v>
      </c>
      <c r="N70" s="124">
        <v>379254</v>
      </c>
      <c r="P70" s="43" t="s">
        <v>31</v>
      </c>
      <c r="Q70" s="41">
        <v>8601</v>
      </c>
      <c r="R70" s="118">
        <v>6094</v>
      </c>
      <c r="S70" s="41">
        <v>14065</v>
      </c>
      <c r="T70" s="6"/>
      <c r="U70" s="43" t="s">
        <v>31</v>
      </c>
      <c r="V70" s="41">
        <v>993.3</v>
      </c>
      <c r="W70" s="118">
        <v>709.09999999999991</v>
      </c>
      <c r="X70" s="41">
        <v>1580.6</v>
      </c>
      <c r="Z70" s="43" t="s">
        <v>31</v>
      </c>
      <c r="AA70" s="41">
        <v>1726</v>
      </c>
      <c r="AB70" s="118">
        <v>1323</v>
      </c>
      <c r="AC70" s="41">
        <v>2819</v>
      </c>
      <c r="AE70" s="43" t="s">
        <v>31</v>
      </c>
      <c r="AF70" s="41">
        <v>925</v>
      </c>
      <c r="AG70" s="118">
        <v>755</v>
      </c>
      <c r="AH70" s="41">
        <v>1586</v>
      </c>
      <c r="AJ70" s="43" t="s">
        <v>31</v>
      </c>
      <c r="AK70" s="41">
        <v>194</v>
      </c>
      <c r="AL70" s="118">
        <v>1292</v>
      </c>
      <c r="AM70" s="41">
        <v>4668</v>
      </c>
      <c r="AO70" s="43" t="s">
        <v>31</v>
      </c>
      <c r="AP70" s="41">
        <v>369</v>
      </c>
      <c r="AQ70" s="118">
        <v>2748</v>
      </c>
      <c r="AR70" s="41">
        <v>10956</v>
      </c>
      <c r="AT70" s="43" t="s">
        <v>31</v>
      </c>
      <c r="AU70" s="41">
        <v>609</v>
      </c>
      <c r="AV70" s="118">
        <v>1539</v>
      </c>
      <c r="AW70" s="41">
        <v>5065</v>
      </c>
      <c r="AY70" s="43" t="s">
        <v>31</v>
      </c>
      <c r="AZ70" s="41">
        <v>225</v>
      </c>
      <c r="BA70" s="118">
        <v>2808</v>
      </c>
      <c r="BB70" s="41">
        <v>11996</v>
      </c>
      <c r="BD70" s="43" t="s">
        <v>31</v>
      </c>
      <c r="BE70" s="41">
        <v>1483</v>
      </c>
      <c r="BF70" s="118">
        <v>935</v>
      </c>
      <c r="BG70" s="41">
        <v>1459</v>
      </c>
      <c r="BI70" s="43" t="s">
        <v>31</v>
      </c>
      <c r="BJ70" s="41">
        <v>10559</v>
      </c>
      <c r="BK70" s="118">
        <v>5103</v>
      </c>
      <c r="BL70" s="41">
        <v>9404</v>
      </c>
      <c r="BN70" s="43" t="s">
        <v>31</v>
      </c>
      <c r="BO70" s="41">
        <v>3515</v>
      </c>
      <c r="BP70" s="118">
        <v>804</v>
      </c>
      <c r="BQ70" s="41">
        <v>2110</v>
      </c>
      <c r="BS70" s="43" t="s">
        <v>31</v>
      </c>
      <c r="BT70" s="41">
        <v>856</v>
      </c>
      <c r="BU70" s="118">
        <v>412</v>
      </c>
      <c r="BV70" s="41">
        <v>527</v>
      </c>
      <c r="BX70" s="43" t="s">
        <v>31</v>
      </c>
      <c r="BY70" s="41">
        <f>40690</f>
        <v>40690</v>
      </c>
      <c r="BZ70" s="118">
        <f>25947</f>
        <v>25947</v>
      </c>
      <c r="CA70" s="41">
        <f>68861</f>
        <v>68861</v>
      </c>
      <c r="CB70" s="30"/>
      <c r="CC70" s="43" t="s">
        <v>31</v>
      </c>
      <c r="CD70" s="41">
        <f>586</f>
        <v>586</v>
      </c>
      <c r="CE70" s="118">
        <f>1576</f>
        <v>1576</v>
      </c>
      <c r="CF70" s="41">
        <f>8361</f>
        <v>8361</v>
      </c>
      <c r="CG70" s="30"/>
      <c r="CH70" s="43" t="s">
        <v>31</v>
      </c>
      <c r="CI70" s="41">
        <v>74</v>
      </c>
      <c r="CJ70" s="118">
        <v>40</v>
      </c>
      <c r="CK70" s="41">
        <v>69</v>
      </c>
      <c r="CL70" s="30"/>
      <c r="CM70" s="43" t="s">
        <v>31</v>
      </c>
      <c r="CN70" s="41">
        <v>41</v>
      </c>
      <c r="CO70" s="118">
        <v>29</v>
      </c>
      <c r="CP70" s="41">
        <v>50</v>
      </c>
    </row>
    <row r="71" spans="1:94" ht="15">
      <c r="A71" s="43" t="s">
        <v>32</v>
      </c>
      <c r="B71" s="121">
        <v>158136</v>
      </c>
      <c r="C71" s="122">
        <v>114006</v>
      </c>
      <c r="D71" s="123">
        <v>204688</v>
      </c>
      <c r="F71" s="43" t="s">
        <v>32</v>
      </c>
      <c r="G71" s="41">
        <v>650138</v>
      </c>
      <c r="H71" s="41">
        <v>476044</v>
      </c>
      <c r="I71" s="41">
        <v>860254</v>
      </c>
      <c r="K71" s="43" t="s">
        <v>32</v>
      </c>
      <c r="L71" s="124">
        <v>410130</v>
      </c>
      <c r="M71" s="124">
        <v>243300</v>
      </c>
      <c r="N71" s="124">
        <v>408000</v>
      </c>
      <c r="P71" s="43" t="s">
        <v>32</v>
      </c>
      <c r="Q71" s="41">
        <v>4651</v>
      </c>
      <c r="R71" s="118">
        <v>4308</v>
      </c>
      <c r="S71" s="41">
        <v>10064</v>
      </c>
      <c r="T71" s="6"/>
      <c r="U71" s="43" t="s">
        <v>32</v>
      </c>
      <c r="V71" s="41">
        <v>939.4</v>
      </c>
      <c r="W71" s="118">
        <v>646.79999999999995</v>
      </c>
      <c r="X71" s="41">
        <v>1504.3</v>
      </c>
      <c r="Z71" s="43" t="s">
        <v>32</v>
      </c>
      <c r="AA71" s="41">
        <v>1538</v>
      </c>
      <c r="AB71" s="118">
        <v>1179</v>
      </c>
      <c r="AC71" s="41">
        <v>2511</v>
      </c>
      <c r="AE71" s="43" t="s">
        <v>32</v>
      </c>
      <c r="AF71" s="41">
        <v>814</v>
      </c>
      <c r="AG71" s="118">
        <v>801</v>
      </c>
      <c r="AH71" s="41">
        <v>1760</v>
      </c>
      <c r="AJ71" s="43" t="s">
        <v>32</v>
      </c>
      <c r="AK71" s="41">
        <v>155</v>
      </c>
      <c r="AL71" s="118">
        <v>1542</v>
      </c>
      <c r="AM71" s="41">
        <v>5075</v>
      </c>
      <c r="AO71" s="43" t="s">
        <v>32</v>
      </c>
      <c r="AP71" s="41">
        <v>279</v>
      </c>
      <c r="AQ71" s="118">
        <v>3334</v>
      </c>
      <c r="AR71" s="41">
        <v>12127</v>
      </c>
      <c r="AT71" s="43" t="s">
        <v>32</v>
      </c>
      <c r="AU71" s="41">
        <v>554</v>
      </c>
      <c r="AV71" s="118">
        <v>1852</v>
      </c>
      <c r="AW71" s="41">
        <v>5666</v>
      </c>
      <c r="AY71" s="43" t="s">
        <v>32</v>
      </c>
      <c r="AZ71" s="41">
        <v>159</v>
      </c>
      <c r="BA71" s="118">
        <v>3459</v>
      </c>
      <c r="BB71" s="41">
        <v>13117</v>
      </c>
      <c r="BD71" s="43" t="s">
        <v>32</v>
      </c>
      <c r="BE71" s="41">
        <v>1238</v>
      </c>
      <c r="BF71" s="118">
        <v>918</v>
      </c>
      <c r="BG71" s="41">
        <v>1580</v>
      </c>
      <c r="BI71" s="43" t="s">
        <v>32</v>
      </c>
      <c r="BJ71" s="41">
        <v>7111</v>
      </c>
      <c r="BK71" s="118">
        <v>4622</v>
      </c>
      <c r="BL71" s="41">
        <v>9307</v>
      </c>
      <c r="BN71" s="43" t="s">
        <v>32</v>
      </c>
      <c r="BO71" s="41">
        <v>3114</v>
      </c>
      <c r="BP71" s="118">
        <v>801</v>
      </c>
      <c r="BQ71" s="41">
        <v>2348</v>
      </c>
      <c r="BS71" s="43" t="s">
        <v>32</v>
      </c>
      <c r="BT71" s="41">
        <v>1406</v>
      </c>
      <c r="BU71" s="118">
        <v>784</v>
      </c>
      <c r="BV71" s="41">
        <v>1099</v>
      </c>
      <c r="BX71" s="43" t="s">
        <v>32</v>
      </c>
      <c r="BY71" s="41">
        <f>32385</f>
        <v>32385</v>
      </c>
      <c r="BZ71" s="118">
        <f>26534</f>
        <v>26534</v>
      </c>
      <c r="CA71" s="41">
        <f>74072</f>
        <v>74072</v>
      </c>
      <c r="CB71" s="30"/>
      <c r="CC71" s="43" t="s">
        <v>32</v>
      </c>
      <c r="CD71" s="41">
        <f>464</f>
        <v>464</v>
      </c>
      <c r="CE71" s="118">
        <f>1534</f>
        <v>1534</v>
      </c>
      <c r="CF71" s="41">
        <f>8305</f>
        <v>8305</v>
      </c>
      <c r="CG71" s="30"/>
      <c r="CH71" s="43" t="s">
        <v>32</v>
      </c>
      <c r="CI71" s="41">
        <v>69</v>
      </c>
      <c r="CJ71" s="118">
        <v>40</v>
      </c>
      <c r="CK71" s="41">
        <v>75</v>
      </c>
      <c r="CL71" s="30"/>
      <c r="CM71" s="43" t="s">
        <v>32</v>
      </c>
      <c r="CN71" s="41">
        <v>37</v>
      </c>
      <c r="CO71" s="118">
        <v>29</v>
      </c>
      <c r="CP71" s="41">
        <v>56</v>
      </c>
    </row>
    <row r="72" spans="1:94" ht="15">
      <c r="A72" s="43" t="s">
        <v>33</v>
      </c>
      <c r="B72" s="121">
        <v>170576</v>
      </c>
      <c r="C72" s="122">
        <v>111726</v>
      </c>
      <c r="D72" s="123">
        <v>188864</v>
      </c>
      <c r="F72" s="43" t="s">
        <v>33</v>
      </c>
      <c r="G72" s="41">
        <v>673752</v>
      </c>
      <c r="H72" s="41">
        <v>452064</v>
      </c>
      <c r="I72" s="41">
        <v>764926</v>
      </c>
      <c r="K72" s="43" t="s">
        <v>33</v>
      </c>
      <c r="L72" s="124">
        <v>391155</v>
      </c>
      <c r="M72" s="124">
        <v>222922.5</v>
      </c>
      <c r="N72" s="124">
        <v>353782.5</v>
      </c>
      <c r="P72" s="43" t="s">
        <v>33</v>
      </c>
      <c r="Q72" s="41">
        <v>7336</v>
      </c>
      <c r="R72" s="118">
        <v>6669</v>
      </c>
      <c r="S72" s="41">
        <v>13794</v>
      </c>
      <c r="T72" s="6"/>
      <c r="U72" s="43" t="s">
        <v>33</v>
      </c>
      <c r="V72" s="41">
        <v>1019.1999999999999</v>
      </c>
      <c r="W72" s="118">
        <v>767.19999999999993</v>
      </c>
      <c r="X72" s="41">
        <v>1587.6</v>
      </c>
      <c r="Z72" s="43" t="s">
        <v>33</v>
      </c>
      <c r="AA72" s="41">
        <v>1675</v>
      </c>
      <c r="AB72" s="118">
        <v>1284</v>
      </c>
      <c r="AC72" s="41">
        <v>2735</v>
      </c>
      <c r="AE72" s="43" t="s">
        <v>33</v>
      </c>
      <c r="AF72" s="41">
        <v>893</v>
      </c>
      <c r="AG72" s="118">
        <v>840</v>
      </c>
      <c r="AH72" s="41">
        <v>1589</v>
      </c>
      <c r="AJ72" s="43" t="s">
        <v>33</v>
      </c>
      <c r="AK72" s="41">
        <v>175</v>
      </c>
      <c r="AL72" s="118">
        <v>2069</v>
      </c>
      <c r="AM72" s="41">
        <v>5016</v>
      </c>
      <c r="AO72" s="43" t="s">
        <v>33</v>
      </c>
      <c r="AP72" s="41">
        <v>278</v>
      </c>
      <c r="AQ72" s="118">
        <v>4462</v>
      </c>
      <c r="AR72" s="41">
        <v>11843</v>
      </c>
      <c r="AT72" s="43" t="s">
        <v>33</v>
      </c>
      <c r="AU72" s="41">
        <v>520</v>
      </c>
      <c r="AV72" s="118">
        <v>2316</v>
      </c>
      <c r="AW72" s="41">
        <v>5507</v>
      </c>
      <c r="AY72" s="43" t="s">
        <v>33</v>
      </c>
      <c r="AZ72" s="41">
        <v>209</v>
      </c>
      <c r="BA72" s="118">
        <v>4888</v>
      </c>
      <c r="BB72" s="41">
        <v>13169</v>
      </c>
      <c r="BD72" s="43" t="s">
        <v>33</v>
      </c>
      <c r="BE72" s="41">
        <v>1198</v>
      </c>
      <c r="BF72" s="118">
        <v>845</v>
      </c>
      <c r="BG72" s="41">
        <v>1280</v>
      </c>
      <c r="BI72" s="43" t="s">
        <v>33</v>
      </c>
      <c r="BJ72" s="41">
        <v>8720</v>
      </c>
      <c r="BK72" s="118">
        <v>4834</v>
      </c>
      <c r="BL72" s="41">
        <v>8703</v>
      </c>
      <c r="BN72" s="43" t="s">
        <v>33</v>
      </c>
      <c r="BO72" s="41">
        <v>2160</v>
      </c>
      <c r="BP72" s="118">
        <v>582</v>
      </c>
      <c r="BQ72" s="41">
        <v>1418</v>
      </c>
      <c r="BS72" s="43" t="s">
        <v>33</v>
      </c>
      <c r="BT72" s="41">
        <v>1481</v>
      </c>
      <c r="BU72" s="118">
        <v>725</v>
      </c>
      <c r="BV72" s="41">
        <v>930</v>
      </c>
      <c r="BX72" s="43" t="s">
        <v>33</v>
      </c>
      <c r="BY72" s="41">
        <f>27059</f>
        <v>27059</v>
      </c>
      <c r="BZ72" s="118">
        <f>27626</f>
        <v>27626</v>
      </c>
      <c r="CA72" s="41">
        <f>71246</f>
        <v>71246</v>
      </c>
      <c r="CB72" s="30"/>
      <c r="CC72" s="43" t="s">
        <v>33</v>
      </c>
      <c r="CD72" s="41">
        <f>645</f>
        <v>645</v>
      </c>
      <c r="CE72" s="118">
        <f>2021</f>
        <v>2021</v>
      </c>
      <c r="CF72" s="41">
        <f>8541</f>
        <v>8541</v>
      </c>
      <c r="CG72" s="30"/>
      <c r="CH72" s="43" t="s">
        <v>33</v>
      </c>
      <c r="CI72" s="41">
        <v>79</v>
      </c>
      <c r="CJ72" s="118">
        <v>55</v>
      </c>
      <c r="CK72" s="41">
        <v>68</v>
      </c>
      <c r="CL72" s="30"/>
      <c r="CM72" s="43" t="s">
        <v>33</v>
      </c>
      <c r="CN72" s="41">
        <v>40</v>
      </c>
      <c r="CO72" s="118">
        <v>28</v>
      </c>
      <c r="CP72" s="41">
        <v>50</v>
      </c>
    </row>
    <row r="73" spans="1:94" ht="15">
      <c r="A73" s="43" t="s">
        <v>34</v>
      </c>
      <c r="B73" s="121">
        <v>175762</v>
      </c>
      <c r="C73" s="122">
        <v>111988</v>
      </c>
      <c r="D73" s="123">
        <v>200192</v>
      </c>
      <c r="F73" s="43" t="s">
        <v>34</v>
      </c>
      <c r="G73" s="41">
        <v>676897</v>
      </c>
      <c r="H73" s="41">
        <v>430003</v>
      </c>
      <c r="I73" s="41">
        <v>714870</v>
      </c>
      <c r="K73" s="43" t="s">
        <v>34</v>
      </c>
      <c r="L73" s="124">
        <v>196830</v>
      </c>
      <c r="M73" s="124">
        <v>113730</v>
      </c>
      <c r="N73" s="124">
        <v>188640</v>
      </c>
      <c r="P73" s="43" t="s">
        <v>34</v>
      </c>
      <c r="Q73" s="41">
        <v>8871</v>
      </c>
      <c r="R73" s="118">
        <v>8102</v>
      </c>
      <c r="S73" s="41">
        <v>17366</v>
      </c>
      <c r="T73" s="6"/>
      <c r="U73" s="43" t="s">
        <v>34</v>
      </c>
      <c r="V73" s="41">
        <v>1538.6</v>
      </c>
      <c r="W73" s="118">
        <v>1181.5999999999999</v>
      </c>
      <c r="X73" s="41">
        <v>2183.2999999999997</v>
      </c>
      <c r="Z73" s="43" t="s">
        <v>34</v>
      </c>
      <c r="AA73" s="41">
        <v>2570</v>
      </c>
      <c r="AB73" s="118">
        <v>1987</v>
      </c>
      <c r="AC73" s="41">
        <v>3798</v>
      </c>
      <c r="AE73" s="43" t="s">
        <v>34</v>
      </c>
      <c r="AF73" s="41">
        <v>1032</v>
      </c>
      <c r="AG73" s="118">
        <v>914</v>
      </c>
      <c r="AH73" s="41">
        <v>1631</v>
      </c>
      <c r="AJ73" s="43" t="s">
        <v>34</v>
      </c>
      <c r="AK73" s="41">
        <v>749</v>
      </c>
      <c r="AL73" s="118">
        <v>2577</v>
      </c>
      <c r="AM73" s="41">
        <v>5369</v>
      </c>
      <c r="AO73" s="43" t="s">
        <v>34</v>
      </c>
      <c r="AP73" s="41">
        <v>1290</v>
      </c>
      <c r="AQ73" s="118">
        <v>5994</v>
      </c>
      <c r="AR73" s="41">
        <v>12828</v>
      </c>
      <c r="AT73" s="43" t="s">
        <v>34</v>
      </c>
      <c r="AU73" s="41">
        <v>1119</v>
      </c>
      <c r="AV73" s="118">
        <v>2855</v>
      </c>
      <c r="AW73" s="41">
        <v>5921</v>
      </c>
      <c r="AY73" s="43" t="s">
        <v>34</v>
      </c>
      <c r="AZ73" s="41">
        <v>1092</v>
      </c>
      <c r="BA73" s="118">
        <v>6564</v>
      </c>
      <c r="BB73" s="41">
        <v>14034</v>
      </c>
      <c r="BD73" s="43" t="s">
        <v>34</v>
      </c>
      <c r="BE73" s="41">
        <v>1861</v>
      </c>
      <c r="BF73" s="118">
        <v>1247</v>
      </c>
      <c r="BG73" s="41">
        <v>1554</v>
      </c>
      <c r="BI73" s="43" t="s">
        <v>34</v>
      </c>
      <c r="BJ73" s="41">
        <v>10081</v>
      </c>
      <c r="BK73" s="118">
        <v>5857</v>
      </c>
      <c r="BL73" s="41">
        <v>10163</v>
      </c>
      <c r="BN73" s="43" t="s">
        <v>34</v>
      </c>
      <c r="BO73" s="41">
        <v>391</v>
      </c>
      <c r="BP73" s="118">
        <v>167</v>
      </c>
      <c r="BQ73" s="41">
        <v>265</v>
      </c>
      <c r="BS73" s="43" t="s">
        <v>34</v>
      </c>
      <c r="BT73" s="41">
        <v>1494</v>
      </c>
      <c r="BU73" s="118">
        <v>720</v>
      </c>
      <c r="BV73" s="41">
        <v>921</v>
      </c>
      <c r="BX73" s="43" t="s">
        <v>34</v>
      </c>
      <c r="BY73" s="41">
        <f>20181</f>
        <v>20181</v>
      </c>
      <c r="BZ73" s="118">
        <f>28146</f>
        <v>28146</v>
      </c>
      <c r="CA73" s="41">
        <f>72211</f>
        <v>72211</v>
      </c>
      <c r="CB73" s="30"/>
      <c r="CC73" s="43" t="s">
        <v>34</v>
      </c>
      <c r="CD73" s="41">
        <f>888</f>
        <v>888</v>
      </c>
      <c r="CE73" s="118">
        <f>2413</f>
        <v>2413</v>
      </c>
      <c r="CF73" s="41">
        <f>9480</f>
        <v>9480</v>
      </c>
      <c r="CG73" s="30"/>
      <c r="CH73" s="43" t="s">
        <v>34</v>
      </c>
      <c r="CI73" s="41">
        <v>258</v>
      </c>
      <c r="CJ73" s="118">
        <v>594</v>
      </c>
      <c r="CK73" s="41">
        <v>187</v>
      </c>
      <c r="CL73" s="30"/>
      <c r="CM73" s="43" t="s">
        <v>34</v>
      </c>
      <c r="CN73" s="41">
        <v>43</v>
      </c>
      <c r="CO73" s="118">
        <v>29</v>
      </c>
      <c r="CP73" s="41">
        <v>51</v>
      </c>
    </row>
    <row r="74" spans="1:94" ht="15">
      <c r="A74" s="43" t="s">
        <v>35</v>
      </c>
      <c r="B74" s="121">
        <v>147372</v>
      </c>
      <c r="C74" s="122">
        <v>99422</v>
      </c>
      <c r="D74" s="123">
        <v>192526</v>
      </c>
      <c r="F74" s="43" t="s">
        <v>35</v>
      </c>
      <c r="G74" s="41">
        <v>561911</v>
      </c>
      <c r="H74" s="41">
        <v>367816</v>
      </c>
      <c r="I74" s="41">
        <v>709220</v>
      </c>
      <c r="K74" s="43" t="s">
        <v>35</v>
      </c>
      <c r="L74" s="124">
        <v>176527.5</v>
      </c>
      <c r="M74" s="124">
        <v>114892.5</v>
      </c>
      <c r="N74" s="124">
        <v>184530</v>
      </c>
      <c r="P74" s="43" t="s">
        <v>35</v>
      </c>
      <c r="Q74" s="41">
        <v>7681</v>
      </c>
      <c r="R74" s="118">
        <v>6537</v>
      </c>
      <c r="S74" s="41">
        <v>14437</v>
      </c>
      <c r="T74" s="6"/>
      <c r="U74" s="43" t="s">
        <v>35</v>
      </c>
      <c r="V74" s="41">
        <v>3089.1</v>
      </c>
      <c r="W74" s="118">
        <v>1500.8</v>
      </c>
      <c r="X74" s="41">
        <v>2798.6</v>
      </c>
      <c r="Z74" s="43" t="s">
        <v>35</v>
      </c>
      <c r="AA74" s="41">
        <v>4077</v>
      </c>
      <c r="AB74" s="118">
        <v>2311</v>
      </c>
      <c r="AC74" s="41">
        <v>4194</v>
      </c>
      <c r="AE74" s="43" t="s">
        <v>35</v>
      </c>
      <c r="AF74" s="41">
        <v>1417</v>
      </c>
      <c r="AG74" s="118">
        <v>1231</v>
      </c>
      <c r="AH74" s="41">
        <v>2514</v>
      </c>
      <c r="AJ74" s="43" t="s">
        <v>35</v>
      </c>
      <c r="AK74" s="41">
        <v>1467</v>
      </c>
      <c r="AL74" s="118">
        <v>2557</v>
      </c>
      <c r="AM74" s="41">
        <v>5583</v>
      </c>
      <c r="AO74" s="43" t="s">
        <v>35</v>
      </c>
      <c r="AP74" s="41">
        <v>2900</v>
      </c>
      <c r="AQ74" s="118">
        <v>5974</v>
      </c>
      <c r="AR74" s="41">
        <v>13727</v>
      </c>
      <c r="AT74" s="43" t="s">
        <v>35</v>
      </c>
      <c r="AU74" s="41">
        <v>2183</v>
      </c>
      <c r="AV74" s="118">
        <v>3117</v>
      </c>
      <c r="AW74" s="41">
        <v>6875</v>
      </c>
      <c r="AY74" s="43" t="s">
        <v>35</v>
      </c>
      <c r="AZ74" s="41">
        <v>2748</v>
      </c>
      <c r="BA74" s="118">
        <v>6348</v>
      </c>
      <c r="BB74" s="41">
        <v>14590</v>
      </c>
      <c r="BD74" s="43" t="s">
        <v>35</v>
      </c>
      <c r="BE74" s="41">
        <v>2728</v>
      </c>
      <c r="BF74" s="118">
        <v>1569</v>
      </c>
      <c r="BG74" s="41">
        <v>2258</v>
      </c>
      <c r="BI74" s="43" t="s">
        <v>35</v>
      </c>
      <c r="BJ74" s="41">
        <v>11427</v>
      </c>
      <c r="BK74" s="118">
        <v>6152</v>
      </c>
      <c r="BL74" s="41">
        <v>11988</v>
      </c>
      <c r="BN74" s="43" t="s">
        <v>35</v>
      </c>
      <c r="BO74" s="41">
        <v>138</v>
      </c>
      <c r="BP74" s="118">
        <v>43</v>
      </c>
      <c r="BQ74" s="41">
        <v>67</v>
      </c>
      <c r="BS74" s="43" t="s">
        <v>35</v>
      </c>
      <c r="BT74" s="41">
        <v>931</v>
      </c>
      <c r="BU74" s="118">
        <v>473</v>
      </c>
      <c r="BV74" s="41">
        <v>710</v>
      </c>
      <c r="BX74" s="43" t="s">
        <v>35</v>
      </c>
      <c r="BY74" s="41">
        <f>26141</f>
        <v>26141</v>
      </c>
      <c r="BZ74" s="118">
        <f>28892</f>
        <v>28892</v>
      </c>
      <c r="CA74" s="41">
        <f>80093</f>
        <v>80093</v>
      </c>
      <c r="CB74" s="30"/>
      <c r="CC74" s="43" t="s">
        <v>35</v>
      </c>
      <c r="CD74" s="41">
        <f>1259</f>
        <v>1259</v>
      </c>
      <c r="CE74" s="118">
        <f>2418</f>
        <v>2418</v>
      </c>
      <c r="CF74" s="41">
        <f>9760</f>
        <v>9760</v>
      </c>
      <c r="CG74" s="30"/>
      <c r="CH74" s="43" t="s">
        <v>35</v>
      </c>
      <c r="CI74" s="41">
        <v>240</v>
      </c>
      <c r="CJ74" s="118">
        <v>463</v>
      </c>
      <c r="CK74" s="41">
        <v>144</v>
      </c>
      <c r="CL74" s="30"/>
      <c r="CM74" s="43" t="s">
        <v>35</v>
      </c>
      <c r="CN74" s="41">
        <v>37</v>
      </c>
      <c r="CO74" s="118">
        <v>27</v>
      </c>
      <c r="CP74" s="41">
        <v>55</v>
      </c>
    </row>
    <row r="75" spans="1:94" ht="15">
      <c r="A75" s="43" t="s">
        <v>36</v>
      </c>
      <c r="B75" s="121">
        <v>123658</v>
      </c>
      <c r="C75" s="122">
        <v>81666</v>
      </c>
      <c r="D75" s="123">
        <v>182324</v>
      </c>
      <c r="F75" s="43" t="s">
        <v>36</v>
      </c>
      <c r="G75" s="41">
        <v>510433</v>
      </c>
      <c r="H75" s="41">
        <v>335836</v>
      </c>
      <c r="I75" s="41">
        <v>695605</v>
      </c>
      <c r="K75" s="43" t="s">
        <v>36</v>
      </c>
      <c r="L75" s="124">
        <v>291352.5</v>
      </c>
      <c r="M75" s="124">
        <v>176220</v>
      </c>
      <c r="N75" s="124">
        <v>350025</v>
      </c>
      <c r="P75" s="43" t="s">
        <v>36</v>
      </c>
      <c r="Q75" s="41">
        <v>7940</v>
      </c>
      <c r="R75" s="118">
        <v>6459</v>
      </c>
      <c r="S75" s="41">
        <v>15732</v>
      </c>
      <c r="T75" s="6"/>
      <c r="U75" s="43" t="s">
        <v>36</v>
      </c>
      <c r="V75" s="41">
        <v>1430.1</v>
      </c>
      <c r="W75" s="118">
        <v>912.09999999999991</v>
      </c>
      <c r="X75" s="41">
        <v>1871.1</v>
      </c>
      <c r="Z75" s="43" t="s">
        <v>36</v>
      </c>
      <c r="AA75" s="41">
        <v>4620</v>
      </c>
      <c r="AB75" s="118">
        <v>2354</v>
      </c>
      <c r="AC75" s="41">
        <v>5966</v>
      </c>
      <c r="AE75" s="43" t="s">
        <v>36</v>
      </c>
      <c r="AF75" s="41">
        <v>1663</v>
      </c>
      <c r="AG75" s="118">
        <v>1203</v>
      </c>
      <c r="AH75" s="41">
        <v>2529</v>
      </c>
      <c r="AJ75" s="43" t="s">
        <v>36</v>
      </c>
      <c r="AK75" s="41">
        <v>1428</v>
      </c>
      <c r="AL75" s="118">
        <v>2667</v>
      </c>
      <c r="AM75" s="41">
        <v>6148</v>
      </c>
      <c r="AO75" s="43" t="s">
        <v>36</v>
      </c>
      <c r="AP75" s="41">
        <v>3191</v>
      </c>
      <c r="AQ75" s="118">
        <v>7154</v>
      </c>
      <c r="AR75" s="41">
        <v>16697</v>
      </c>
      <c r="AT75" s="43" t="s">
        <v>36</v>
      </c>
      <c r="AU75" s="41">
        <v>2549</v>
      </c>
      <c r="AV75" s="118">
        <v>3495</v>
      </c>
      <c r="AW75" s="41">
        <v>7998</v>
      </c>
      <c r="AY75" s="43" t="s">
        <v>36</v>
      </c>
      <c r="AZ75" s="41">
        <v>2941</v>
      </c>
      <c r="BA75" s="118">
        <v>7194</v>
      </c>
      <c r="BB75" s="41">
        <v>16625</v>
      </c>
      <c r="BD75" s="43" t="s">
        <v>36</v>
      </c>
      <c r="BE75" s="41">
        <v>3199</v>
      </c>
      <c r="BF75" s="118">
        <v>1900</v>
      </c>
      <c r="BG75" s="41">
        <v>2960</v>
      </c>
      <c r="BI75" s="43" t="s">
        <v>36</v>
      </c>
      <c r="BJ75" s="41">
        <v>11838</v>
      </c>
      <c r="BK75" s="118">
        <v>6396</v>
      </c>
      <c r="BL75" s="41">
        <v>13747</v>
      </c>
      <c r="BN75" s="43" t="s">
        <v>36</v>
      </c>
      <c r="BO75" s="41">
        <v>129</v>
      </c>
      <c r="BP75" s="118">
        <v>51</v>
      </c>
      <c r="BQ75" s="41">
        <v>101</v>
      </c>
      <c r="BS75" s="43" t="s">
        <v>36</v>
      </c>
      <c r="BT75" s="41">
        <v>657</v>
      </c>
      <c r="BU75" s="118">
        <v>334</v>
      </c>
      <c r="BV75" s="41">
        <v>501</v>
      </c>
      <c r="BX75" s="43" t="s">
        <v>36</v>
      </c>
      <c r="BY75" s="41">
        <f>30128</f>
        <v>30128</v>
      </c>
      <c r="BZ75" s="118">
        <v>31672</v>
      </c>
      <c r="CA75" s="41">
        <v>87780</v>
      </c>
      <c r="CB75" s="30"/>
      <c r="CC75" s="43" t="s">
        <v>36</v>
      </c>
      <c r="CD75" s="41">
        <f>1546</f>
        <v>1546</v>
      </c>
      <c r="CE75" s="118">
        <f>2481</f>
        <v>2481</v>
      </c>
      <c r="CF75" s="41">
        <f>9815</f>
        <v>9815</v>
      </c>
      <c r="CG75" s="30"/>
      <c r="CH75" s="43" t="s">
        <v>36</v>
      </c>
      <c r="CI75" s="41">
        <v>285</v>
      </c>
      <c r="CJ75" s="118">
        <v>720</v>
      </c>
      <c r="CK75" s="41">
        <v>236</v>
      </c>
      <c r="CL75" s="30"/>
      <c r="CM75" s="43" t="s">
        <v>36</v>
      </c>
      <c r="CN75" s="41">
        <v>39</v>
      </c>
      <c r="CO75" s="118">
        <v>28</v>
      </c>
      <c r="CP75" s="41">
        <v>60</v>
      </c>
    </row>
    <row r="76" spans="1:94" ht="15">
      <c r="A76" s="147" t="s">
        <v>52</v>
      </c>
      <c r="B76" s="42">
        <f>SUM(B64:B75)</f>
        <v>1706820</v>
      </c>
      <c r="C76" s="42">
        <f>SUM(C64:C75)</f>
        <v>1157128</v>
      </c>
      <c r="D76" s="125">
        <f>SUM(D64:D75)</f>
        <v>2142192</v>
      </c>
      <c r="F76" s="62" t="str">
        <f>A76</f>
        <v>Totale</v>
      </c>
      <c r="G76" s="42">
        <f>SUM(G64:G75)</f>
        <v>7063574</v>
      </c>
      <c r="H76" s="42">
        <f t="shared" ref="H76:I76" si="32">SUM(H64:H75)</f>
        <v>4687064</v>
      </c>
      <c r="I76" s="42">
        <f t="shared" si="32"/>
        <v>8449018</v>
      </c>
      <c r="K76" s="62" t="str">
        <f>F76</f>
        <v>Totale</v>
      </c>
      <c r="L76" s="42">
        <f>SUM(L64:L75)</f>
        <v>3890025</v>
      </c>
      <c r="M76" s="42">
        <f t="shared" ref="M76:N76" si="33">SUM(M64:M75)</f>
        <v>2292862.5</v>
      </c>
      <c r="N76" s="42">
        <f t="shared" si="33"/>
        <v>3867324</v>
      </c>
      <c r="P76" s="62" t="str">
        <f>K76</f>
        <v>Totale</v>
      </c>
      <c r="Q76" s="42">
        <f>SUM(Q64:Q75)</f>
        <v>86746</v>
      </c>
      <c r="R76" s="42">
        <f t="shared" ref="R76:S76" si="34">SUM(R64:R75)</f>
        <v>72693</v>
      </c>
      <c r="S76" s="42">
        <f t="shared" si="34"/>
        <v>161652</v>
      </c>
      <c r="T76" s="112"/>
      <c r="U76" s="62" t="str">
        <f>P76</f>
        <v>Totale</v>
      </c>
      <c r="V76" s="42">
        <f>SUM(V64:V75)</f>
        <v>24339.699999999997</v>
      </c>
      <c r="W76" s="42">
        <f t="shared" ref="W76:X76" si="35">SUM(W64:W75)</f>
        <v>14002.1</v>
      </c>
      <c r="X76" s="42">
        <f t="shared" si="35"/>
        <v>30913.399999999991</v>
      </c>
      <c r="Z76" s="62" t="str">
        <f>P76</f>
        <v>Totale</v>
      </c>
      <c r="AA76" s="42">
        <f>SUM(AA64:AA75)</f>
        <v>37168</v>
      </c>
      <c r="AB76" s="42">
        <f t="shared" ref="AB76:AC76" si="36">SUM(AB64:AB75)</f>
        <v>22322</v>
      </c>
      <c r="AC76" s="42">
        <f t="shared" si="36"/>
        <v>44269</v>
      </c>
      <c r="AE76" s="62" t="str">
        <f>Z76</f>
        <v>Totale</v>
      </c>
      <c r="AF76" s="42">
        <f>SUM(AF64:AF75)</f>
        <v>13682</v>
      </c>
      <c r="AG76" s="42">
        <f t="shared" ref="AG76:AH76" si="37">SUM(AG64:AG75)</f>
        <v>11775</v>
      </c>
      <c r="AH76" s="42">
        <f t="shared" si="37"/>
        <v>23946</v>
      </c>
      <c r="AJ76" s="62" t="str">
        <f>AE76</f>
        <v>Totale</v>
      </c>
      <c r="AK76" s="42">
        <f>SUM(AK64:AK75)</f>
        <v>7864</v>
      </c>
      <c r="AL76" s="42">
        <f t="shared" ref="AL76" si="38">SUM(AL64:AL75)</f>
        <v>24968</v>
      </c>
      <c r="AM76" s="42">
        <f>SUM(AM64:AM75)</f>
        <v>64295</v>
      </c>
      <c r="AO76" s="62" t="str">
        <f>AJ76</f>
        <v>Totale</v>
      </c>
      <c r="AP76" s="42">
        <f>SUM(AP64:AP75)</f>
        <v>15238</v>
      </c>
      <c r="AQ76" s="42">
        <f t="shared" ref="AQ76" si="39">SUM(AQ64:AQ75)</f>
        <v>58545</v>
      </c>
      <c r="AR76" s="42">
        <f>SUM(AR64:AR75)</f>
        <v>156636</v>
      </c>
      <c r="AT76" s="62" t="str">
        <f>AO76</f>
        <v>Totale</v>
      </c>
      <c r="AU76" s="42">
        <f>SUM(AU64:AU75)</f>
        <v>14555</v>
      </c>
      <c r="AV76" s="42">
        <f t="shared" ref="AV76" si="40">SUM(AV64:AV75)</f>
        <v>29894</v>
      </c>
      <c r="AW76" s="42">
        <f>SUM(AW64:AW75)</f>
        <v>74143</v>
      </c>
      <c r="AY76" s="62" t="str">
        <f>AT76</f>
        <v>Totale</v>
      </c>
      <c r="AZ76" s="42">
        <f>SUM(AZ64:AZ75)</f>
        <v>13899</v>
      </c>
      <c r="BA76" s="42">
        <f t="shared" ref="BA76" si="41">SUM(BA64:BA75)</f>
        <v>61632</v>
      </c>
      <c r="BB76" s="42">
        <f>SUM(BB64:BB75)</f>
        <v>167521</v>
      </c>
      <c r="BD76" s="62" t="str">
        <f>AY76</f>
        <v>Totale</v>
      </c>
      <c r="BE76" s="42">
        <f>SUM(BE64:BE75)</f>
        <v>24247</v>
      </c>
      <c r="BF76" s="42">
        <f t="shared" ref="BF76" si="42">SUM(BF64:BF75)</f>
        <v>15936</v>
      </c>
      <c r="BG76" s="42">
        <f>SUM(BG64:BG75)</f>
        <v>23710</v>
      </c>
      <c r="BI76" s="62" t="e">
        <f>#REF!</f>
        <v>#REF!</v>
      </c>
      <c r="BJ76" s="42">
        <f>SUM(BJ64:BJ75)</f>
        <v>119371</v>
      </c>
      <c r="BK76" s="42">
        <f t="shared" ref="BK76" si="43">SUM(BK64:BK75)</f>
        <v>65231</v>
      </c>
      <c r="BL76" s="42">
        <f>SUM(BL64:BL75)</f>
        <v>124543</v>
      </c>
      <c r="BN76" s="62" t="e">
        <f>BI76</f>
        <v>#REF!</v>
      </c>
      <c r="BO76" s="42">
        <f>SUM(BO64:BO75)</f>
        <v>10730</v>
      </c>
      <c r="BP76" s="42">
        <f t="shared" ref="BP76" si="44">SUM(BP64:BP75)</f>
        <v>3079</v>
      </c>
      <c r="BQ76" s="42">
        <f>SUM(BQ64:BQ75)</f>
        <v>7284</v>
      </c>
      <c r="BS76" s="62" t="e">
        <f>BN76</f>
        <v>#REF!</v>
      </c>
      <c r="BT76" s="42">
        <f>SUM(BT64:BT75)</f>
        <v>13274</v>
      </c>
      <c r="BU76" s="42">
        <f t="shared" ref="BU76" si="45">SUM(BU64:BU75)</f>
        <v>6800</v>
      </c>
      <c r="BV76" s="42">
        <f>SUM(BV64:BV75)</f>
        <v>9366</v>
      </c>
      <c r="BX76" s="63" t="s">
        <v>180</v>
      </c>
      <c r="BY76" s="118">
        <f>SUM(BY64:BY75)</f>
        <v>349180</v>
      </c>
      <c r="BZ76" s="118">
        <f>SUM(BZ64:BZ75)</f>
        <v>336480</v>
      </c>
      <c r="CA76" s="118">
        <f>SUM(CA64:CA75)</f>
        <v>907046</v>
      </c>
      <c r="CB76" s="30"/>
      <c r="CC76" s="62" t="str">
        <f>BX76</f>
        <v>Totale 2014</v>
      </c>
      <c r="CD76" s="118">
        <f>SUM(CD64:CD75)</f>
        <v>9944</v>
      </c>
      <c r="CE76" s="118">
        <f>SUM(CE64:CE75)</f>
        <v>23687</v>
      </c>
      <c r="CF76" s="118">
        <f>SUM(CF64:CF75)</f>
        <v>106794</v>
      </c>
      <c r="CG76" s="30"/>
      <c r="CH76" s="62" t="str">
        <f>CC76</f>
        <v>Totale 2014</v>
      </c>
      <c r="CI76" s="118">
        <f>SUM(CI64:CI75)</f>
        <v>1457</v>
      </c>
      <c r="CJ76" s="118">
        <f>SUM(CJ64:CJ75)</f>
        <v>2178</v>
      </c>
      <c r="CK76" s="118">
        <f>SUM(CK64:CK75)</f>
        <v>1268</v>
      </c>
      <c r="CL76" s="30"/>
      <c r="CM76" s="62" t="str">
        <f>CH76</f>
        <v>Totale 2014</v>
      </c>
      <c r="CN76" s="118">
        <f>SUM(CN64:CN75)</f>
        <v>516</v>
      </c>
      <c r="CO76" s="118">
        <f t="shared" ref="CO76" si="46">SUM(CO64:CO75)</f>
        <v>372</v>
      </c>
      <c r="CP76" s="118">
        <f>SUM(CP64:CP75)</f>
        <v>709</v>
      </c>
    </row>
    <row r="77" spans="1:94" ht="15">
      <c r="Z77" s="184" t="s">
        <v>227</v>
      </c>
    </row>
    <row r="81" spans="1:34" ht="15">
      <c r="B81" s="112" t="s">
        <v>262</v>
      </c>
      <c r="G81" s="112" t="s">
        <v>263</v>
      </c>
      <c r="L81" s="112" t="s">
        <v>264</v>
      </c>
      <c r="Q81" s="112" t="s">
        <v>265</v>
      </c>
      <c r="V81" s="112" t="s">
        <v>211</v>
      </c>
      <c r="AA81" s="112" t="s">
        <v>236</v>
      </c>
      <c r="AF81" s="112" t="s">
        <v>269</v>
      </c>
    </row>
    <row r="83" spans="1:34" ht="15">
      <c r="A83" s="62" t="s">
        <v>231</v>
      </c>
      <c r="B83" s="63" t="s">
        <v>22</v>
      </c>
      <c r="C83" s="63" t="s">
        <v>23</v>
      </c>
      <c r="D83" s="63" t="s">
        <v>24</v>
      </c>
      <c r="F83" s="62" t="str">
        <f>A83</f>
        <v>Previsione</v>
      </c>
      <c r="G83" s="63" t="s">
        <v>22</v>
      </c>
      <c r="H83" s="63" t="s">
        <v>23</v>
      </c>
      <c r="I83" s="63" t="s">
        <v>24</v>
      </c>
      <c r="K83" s="62" t="str">
        <f>F83</f>
        <v>Previsione</v>
      </c>
      <c r="L83" s="63" t="s">
        <v>22</v>
      </c>
      <c r="M83" s="63" t="s">
        <v>23</v>
      </c>
      <c r="N83" s="63" t="s">
        <v>24</v>
      </c>
      <c r="P83" s="62" t="str">
        <f>K83</f>
        <v>Previsione</v>
      </c>
      <c r="Q83" s="63" t="s">
        <v>22</v>
      </c>
      <c r="R83" s="63" t="s">
        <v>23</v>
      </c>
      <c r="S83" s="63" t="s">
        <v>24</v>
      </c>
      <c r="U83" s="62" t="str">
        <f>P83</f>
        <v>Previsione</v>
      </c>
      <c r="V83" s="63" t="s">
        <v>22</v>
      </c>
      <c r="W83" s="63" t="s">
        <v>23</v>
      </c>
      <c r="X83" s="63" t="s">
        <v>24</v>
      </c>
      <c r="Y83" s="186"/>
      <c r="Z83" s="62" t="str">
        <f>U83</f>
        <v>Previsione</v>
      </c>
      <c r="AA83" s="63" t="s">
        <v>22</v>
      </c>
      <c r="AB83" s="63" t="s">
        <v>23</v>
      </c>
      <c r="AC83" s="63" t="s">
        <v>24</v>
      </c>
      <c r="AE83" s="62" t="str">
        <f>Z83</f>
        <v>Previsione</v>
      </c>
      <c r="AF83" s="63" t="s">
        <v>22</v>
      </c>
      <c r="AG83" s="63" t="s">
        <v>23</v>
      </c>
      <c r="AH83" s="63" t="s">
        <v>24</v>
      </c>
    </row>
    <row r="84" spans="1:34" ht="15">
      <c r="A84" s="43" t="s">
        <v>25</v>
      </c>
      <c r="B84" s="121">
        <f>(B49+B64+B34+B19+B4)/5</f>
        <v>135818.4</v>
      </c>
      <c r="C84" s="121">
        <f>(C49+C64+C34+C19+C4)/5</f>
        <v>93338.2</v>
      </c>
      <c r="D84" s="121">
        <f>(D49+D64+D34+D19+D4)/5</f>
        <v>189887</v>
      </c>
      <c r="F84" s="43" t="s">
        <v>25</v>
      </c>
      <c r="G84" s="41">
        <f t="shared" ref="G84:G92" si="47">(G64+G49+G34+G19+G4)/5+(CS49+CX49+DC49+CS34+CX34+DC34+CS19+CX19+DC19+CS4+CX4+DC4)/4</f>
        <v>445677.25</v>
      </c>
      <c r="H84" s="41">
        <f t="shared" ref="H84:H92" si="48">(H64+H49+H34+H19+H4)/5+(CT49+CY49+DD49+CT34+CY34+DD34+CT19+CY19+DD19+CT4+CY4+DD4)/4</f>
        <v>297410.5</v>
      </c>
      <c r="I84" s="41">
        <f t="shared" ref="I84:I92" si="49">(I64+I49+I34+I19+I4)/5+(CU49+CZ49+DE49+CU34+CZ34+DE34+CU19+CZ19+DE19+CU4+CZ4+DE4)/4</f>
        <v>596314.80000000005</v>
      </c>
      <c r="K84" s="43" t="s">
        <v>25</v>
      </c>
      <c r="L84" s="124">
        <f>(L49+L64+L34+L19+L4)/5</f>
        <v>296090.09999999998</v>
      </c>
      <c r="M84" s="124">
        <f t="shared" ref="M84:N84" si="50">(M49+M64+M34+M19+M4)/5</f>
        <v>178319.7</v>
      </c>
      <c r="N84" s="124">
        <f t="shared" si="50"/>
        <v>334339.5</v>
      </c>
      <c r="P84" s="43" t="s">
        <v>25</v>
      </c>
      <c r="Q84" s="41">
        <f>(+Q49+AA49+AF49+AK49+AP49+AU49+AZ49+BE49+BJ49+BO49+BT49+Q64+AA64+AF64+AK64+AP64+AU64+AZ64+BE64+BJ64+BO64+BT64+Q34+V34+AA34+AF34+AK34+AP34+AU34+AZ34+BE34+BJ34+BO34+BT34+V49+V64+Q19+V19+AA19+AF19+AK19+AP19+AU19+AZ19+BE19+BJ19+BO19+BT19+Q4+V4+AA4+AF4+AK4+AP4+AU4+AZ4+BE4+BJ4+BO4+BT4)/5</f>
        <v>53310.320000000007</v>
      </c>
      <c r="R84" s="41">
        <f t="shared" ref="R84:S84" si="51">(+R49+AB49+AG49+AL49+AQ49+AV49+BA49+BF49+BK49+BP49+BU49+R64+AB64+AG64+AL64+AQ64+AV64+BA64+BF64+BK64+BP64+BU64+R34+W34+AB34+AG34+AL34+AQ34+AV34+BA34+BF34+BK34+BP34+BU34+W49+W64+R19+W19+AB19+AG19+AL19+AQ19+AV19+BA19+BF19+BK19+BP19+BU19+R4+W4+AB4+AG4+AL4+AQ4+AV4+BA4+BF4+BK4+BP4+BU4)/5</f>
        <v>52724.2</v>
      </c>
      <c r="S84" s="41">
        <f t="shared" si="51"/>
        <v>115154.25999999998</v>
      </c>
      <c r="U84" s="43" t="s">
        <v>25</v>
      </c>
      <c r="V84" s="41">
        <f>(BY49+CD49+CI49+CN49+BY64+CD64+CI64+CN64+BY34+CD34+CI34+CN34+BY19+CD19+CI19+CN19+BY4+CD4+CI4+CN4)/5</f>
        <v>36913.199999999997</v>
      </c>
      <c r="W84" s="41">
        <f t="shared" ref="W84:X84" si="52">(BZ49+CE49+CJ49+CO49+BZ64+CE64+CJ64+CO64+BZ34+CE34+CJ34+CO34+BZ19+CE19+CJ19+CO19+BZ4+CE4+CJ4+CO4)/5</f>
        <v>37183.4</v>
      </c>
      <c r="X84" s="41">
        <f t="shared" si="52"/>
        <v>97623.8</v>
      </c>
      <c r="Y84" s="6"/>
      <c r="Z84" s="43" t="s">
        <v>25</v>
      </c>
      <c r="AA84" s="41">
        <f>(DH19+DH34+DH49+DM19+DM34+DM49+DR19+DR34+DR49+DW19+DW34+DW49+EB19+EB34+EB49+EG19+EG34+EG49+EL19+EL34+EL49+EQ19+EQ34+EQ49+EV19+EV34+EV49+FA19+FA34+FA49+FF19+FF34+FF49+FK19+FK34+FK49+DH4+DM4+DR4+DW4+EB4+EG4+EL4+EQ4+EV4+FA4+FF4+FK4)/4</f>
        <v>84044.5</v>
      </c>
      <c r="AB84" s="41">
        <f t="shared" ref="AB84:AC84" si="53">(DI19+DI34+DI49+DN19+DN34+DN49+DS19+DS34+DS49+DX19+DX34+DX49+EC19+EC34+EC49+EH19+EH34+EH49+EM19+EM34+EM49+ER19+ER34+ER49+EW19+EW34+EW49+FB19+FB34+FB49+FG19+FG34+FG49+FL19+FL34+FL49+DI4+DN4+DS4+DX4+EC4+EH4+EM4+ER4+EW4+FB4+FG4+FL4)/4</f>
        <v>66438</v>
      </c>
      <c r="AC84" s="41">
        <f t="shared" si="53"/>
        <v>152978</v>
      </c>
      <c r="AE84" s="43" t="s">
        <v>25</v>
      </c>
      <c r="AF84" s="41">
        <f>(FP19+FU19+FZ19+FP4+FU4+FZ4)/2</f>
        <v>88211.5</v>
      </c>
      <c r="AG84" s="41">
        <f t="shared" ref="AG84:AH84" si="54">(FQ19+FV19+GA19+FQ4+FV4+GA4)/2</f>
        <v>49540</v>
      </c>
      <c r="AH84" s="41">
        <f t="shared" si="54"/>
        <v>121182</v>
      </c>
    </row>
    <row r="85" spans="1:34" ht="15">
      <c r="A85" s="43" t="s">
        <v>26</v>
      </c>
      <c r="B85" s="121">
        <f t="shared" ref="B85:D85" si="55">(B50+B65+B35+B20+B5)/5</f>
        <v>137949.20000000001</v>
      </c>
      <c r="C85" s="121">
        <f t="shared" si="55"/>
        <v>94616.4</v>
      </c>
      <c r="D85" s="121">
        <f t="shared" si="55"/>
        <v>169262.8</v>
      </c>
      <c r="F85" s="43" t="s">
        <v>26</v>
      </c>
      <c r="G85" s="41">
        <f t="shared" si="47"/>
        <v>440335.3</v>
      </c>
      <c r="H85" s="41">
        <f t="shared" si="48"/>
        <v>302427.55</v>
      </c>
      <c r="I85" s="41">
        <f t="shared" si="49"/>
        <v>526358.4</v>
      </c>
      <c r="K85" s="43" t="s">
        <v>26</v>
      </c>
      <c r="L85" s="124">
        <f t="shared" ref="L85:N85" si="56">(L50+L65+L35+L20+L5)/5</f>
        <v>296286.7</v>
      </c>
      <c r="M85" s="124">
        <f t="shared" si="56"/>
        <v>175054.4</v>
      </c>
      <c r="N85" s="124">
        <f t="shared" si="56"/>
        <v>290108.79999999999</v>
      </c>
      <c r="P85" s="43" t="s">
        <v>26</v>
      </c>
      <c r="Q85" s="41">
        <f t="shared" ref="Q85:S85" si="57">(+Q50+AA50+AF50+AK50+AP50+AU50+AZ50+BE50+BJ50+BO50+BT50+Q65+AA65+AF65+AK65+AP65+AU65+AZ65+BE65+BJ65+BO65+BT65+Q35+V35+AA35+AF35+AK35+AP35+AU35+AZ35+BE35+BJ35+BO35+BT35+V50+V65+Q20+V20+AA20+AF20+AK20+AP20+AU20+AZ20+BE20+BJ20+BO20+BT20+Q5+V5+AA5+AF5+AK5+AP5+AU5+AZ5+BE5+BJ5+BO5+BT5)/5</f>
        <v>45567.166892655368</v>
      </c>
      <c r="R85" s="41">
        <f t="shared" si="57"/>
        <v>45736.632580037665</v>
      </c>
      <c r="S85" s="41">
        <f t="shared" si="57"/>
        <v>92691.660527306973</v>
      </c>
      <c r="U85" s="43" t="s">
        <v>26</v>
      </c>
      <c r="V85" s="41">
        <f t="shared" ref="V85:X85" si="58">(BY50+CD50+CI50+CN50+BY65+CD65+CI65+CN65+BY35+CD35+CI35+CN35+BY20+CD20+CI20+CN20+BY5+CD5+CI5+CN5)/5</f>
        <v>32948.6</v>
      </c>
      <c r="W85" s="41">
        <f t="shared" si="58"/>
        <v>33559.599999999999</v>
      </c>
      <c r="X85" s="41">
        <f t="shared" si="58"/>
        <v>83334.600000000006</v>
      </c>
      <c r="Y85" s="6"/>
      <c r="Z85" s="43" t="s">
        <v>26</v>
      </c>
      <c r="AA85" s="41">
        <f t="shared" ref="AA85:AC85" si="59">(DH20+DH35+DH50+DM20+DM35+DM50+DR20+DR35+DR50+DW20+DW35+DW50+EB20+EB35+EB50+EG20+EG35+EG50+EL20+EL35+EL50+EQ20+EQ35+EQ50+EV20+EV35+EV50+FA20+FA35+FA50+FF20+FF35+FF50+FK20+FK35+FK50+DH5+DM5+DR5+DW5+EB5+EG5+EL5+EQ5+EV5+FA5+FF5+FK5)/4</f>
        <v>79997.5</v>
      </c>
      <c r="AB85" s="41">
        <f t="shared" si="59"/>
        <v>63480.75</v>
      </c>
      <c r="AC85" s="41">
        <f t="shared" si="59"/>
        <v>132818.75</v>
      </c>
      <c r="AE85" s="43" t="s">
        <v>26</v>
      </c>
      <c r="AF85" s="41">
        <f t="shared" ref="AF85:AH85" si="60">(FP20+FU20+FZ20+FP5+FU5+FZ5)/2</f>
        <v>83676</v>
      </c>
      <c r="AG85" s="41">
        <f t="shared" si="60"/>
        <v>48854</v>
      </c>
      <c r="AH85" s="41">
        <f t="shared" si="60"/>
        <v>106486</v>
      </c>
    </row>
    <row r="86" spans="1:34" ht="15">
      <c r="A86" s="43" t="s">
        <v>27</v>
      </c>
      <c r="B86" s="121">
        <f t="shared" ref="B86:D86" si="61">(B51+B66+B36+B21+B6)/5</f>
        <v>160922.6</v>
      </c>
      <c r="C86" s="121">
        <f t="shared" si="61"/>
        <v>110631.4</v>
      </c>
      <c r="D86" s="121">
        <f t="shared" si="61"/>
        <v>194169.60000000001</v>
      </c>
      <c r="F86" s="43" t="s">
        <v>27</v>
      </c>
      <c r="G86" s="41">
        <f t="shared" si="47"/>
        <v>446823.5</v>
      </c>
      <c r="H86" s="41">
        <f t="shared" si="48"/>
        <v>336555.8</v>
      </c>
      <c r="I86" s="41">
        <f t="shared" si="49"/>
        <v>594138.55000000005</v>
      </c>
      <c r="K86" s="43" t="s">
        <v>27</v>
      </c>
      <c r="L86" s="124">
        <f t="shared" ref="L86:N86" si="62">(L51+L66+L36+L21+L6)/5</f>
        <v>327726.2</v>
      </c>
      <c r="M86" s="124">
        <f t="shared" si="62"/>
        <v>194243</v>
      </c>
      <c r="N86" s="124">
        <f t="shared" si="62"/>
        <v>315747.8</v>
      </c>
      <c r="P86" s="43" t="s">
        <v>27</v>
      </c>
      <c r="Q86" s="41">
        <f t="shared" ref="Q86:S86" si="63">(+Q51+AA51+AF51+AK51+AP51+AU51+AZ51+BE51+BJ51+BO51+BT51+Q66+AA66+AF66+AK66+AP66+AU66+AZ66+BE66+BJ66+BO66+BT66+Q36+V36+AA36+AF36+AK36+AP36+AU36+AZ36+BE36+BJ36+BO36+BT36+V51+V66+Q21+V21+AA21+AF21+AK21+AP21+AU21+AZ21+BE21+BJ21+BO21+BT21+Q6+V6+AA6+AF6+AK6+AP6+AU6+AZ6+BE6+BJ6+BO6+BT6)/5</f>
        <v>42836.780000000006</v>
      </c>
      <c r="R86" s="41">
        <f t="shared" si="63"/>
        <v>46157.560000000005</v>
      </c>
      <c r="S86" s="41">
        <f t="shared" si="63"/>
        <v>96985.7</v>
      </c>
      <c r="U86" s="43" t="s">
        <v>27</v>
      </c>
      <c r="V86" s="41">
        <f t="shared" ref="V86:X86" si="64">(BY51+CD51+CI51+CN51+BY66+CD66+CI66+CN66+BY36+CD36+CI36+CN36+BY21+CD21+CI21+CN21+BY6+CD6+CI6+CN6)/5</f>
        <v>29307</v>
      </c>
      <c r="W86" s="41">
        <f t="shared" si="64"/>
        <v>32176</v>
      </c>
      <c r="X86" s="41">
        <f t="shared" si="64"/>
        <v>87603.8</v>
      </c>
      <c r="Y86" s="6"/>
      <c r="Z86" s="43" t="s">
        <v>27</v>
      </c>
      <c r="AA86" s="41">
        <f t="shared" ref="AA86:AC86" si="65">(DH21+DH36+DH51+DM21+DM36+DM51+DR21+DR36+DR51+DW21+DW36+DW51+EB21+EB36+EB51+EG21+EG36+EG51+EL21+EL36+EL51+EQ21+EQ36+EQ51+EV21+EV36+EV51+FA21+FA36+FA51+FF21+FF36+FF51+FK21+FK36+FK51+DH6+DM6+DR6+DW6+EB6+EG6+EL6+EQ6+EV6+FA6+FF6+FK6)/4</f>
        <v>90090.25</v>
      </c>
      <c r="AB86" s="41">
        <f t="shared" si="65"/>
        <v>71225.25</v>
      </c>
      <c r="AC86" s="41">
        <f t="shared" si="65"/>
        <v>151983.25</v>
      </c>
      <c r="AE86" s="43" t="s">
        <v>27</v>
      </c>
      <c r="AF86" s="41">
        <f t="shared" ref="AF86:AH86" si="66">(FP21+FU21+FZ21+FP6+FU6+FZ6)/2</f>
        <v>96136.5</v>
      </c>
      <c r="AG86" s="41">
        <f t="shared" si="66"/>
        <v>53841</v>
      </c>
      <c r="AH86" s="41">
        <f t="shared" si="66"/>
        <v>112257</v>
      </c>
    </row>
    <row r="87" spans="1:34" ht="15">
      <c r="A87" s="43" t="s">
        <v>28</v>
      </c>
      <c r="B87" s="121">
        <f t="shared" ref="B87:D87" si="67">(B52+B67+B37+B22+B7)/5</f>
        <v>163828.4</v>
      </c>
      <c r="C87" s="121">
        <f t="shared" si="67"/>
        <v>114194.4</v>
      </c>
      <c r="D87" s="121">
        <f t="shared" si="67"/>
        <v>219153.8</v>
      </c>
      <c r="F87" s="43" t="s">
        <v>28</v>
      </c>
      <c r="G87" s="41">
        <f t="shared" si="47"/>
        <v>414402.7</v>
      </c>
      <c r="H87" s="41">
        <f t="shared" si="48"/>
        <v>333236</v>
      </c>
      <c r="I87" s="41">
        <f t="shared" si="49"/>
        <v>664771.4</v>
      </c>
      <c r="K87" s="43" t="s">
        <v>28</v>
      </c>
      <c r="L87" s="124">
        <f t="shared" ref="L87:N87" si="68">(L52+L67+L37+L22+L7)/5</f>
        <v>305692.90000000002</v>
      </c>
      <c r="M87" s="124">
        <f t="shared" si="68"/>
        <v>188906.1</v>
      </c>
      <c r="N87" s="124">
        <f t="shared" si="68"/>
        <v>336870.6</v>
      </c>
      <c r="P87" s="43" t="s">
        <v>28</v>
      </c>
      <c r="Q87" s="41">
        <f t="shared" ref="Q87:S87" si="69">(+Q52+AA52+AF52+AK52+AP52+AU52+AZ52+BE52+BJ52+BO52+BT52+Q67+AA67+AF67+AK67+AP67+AU67+AZ67+BE67+BJ67+BO67+BT67+Q37+V37+AA37+AF37+AK37+AP37+AU37+AZ37+BE37+BJ37+BO37+BT37+V52+V67+Q22+V22+AA22+AF22+AK22+AP22+AU22+AZ22+BE22+BJ22+BO22+BT22+Q7+V7+AA7+AF7+AK7+AP7+AU7+AZ7+BE7+BJ7+BO7+BT7)/5</f>
        <v>29546.860000000004</v>
      </c>
      <c r="R87" s="41">
        <f t="shared" si="69"/>
        <v>33675.280000000006</v>
      </c>
      <c r="S87" s="41">
        <f t="shared" si="69"/>
        <v>92246.939999999988</v>
      </c>
      <c r="U87" s="43" t="s">
        <v>28</v>
      </c>
      <c r="V87" s="41">
        <f t="shared" ref="V87:X87" si="70">(BY52+CD52+CI52+CN52+BY67+CD67+CI67+CN67+BY37+CD37+CI37+CN37+BY22+CD22+CI22+CN22+BY7+CD7+CI7+CN7)/5</f>
        <v>18367.8</v>
      </c>
      <c r="W87" s="41">
        <f t="shared" si="70"/>
        <v>23637.200000000001</v>
      </c>
      <c r="X87" s="41">
        <f t="shared" si="70"/>
        <v>81458.2</v>
      </c>
      <c r="Y87" s="6"/>
      <c r="Z87" s="43" t="s">
        <v>28</v>
      </c>
      <c r="AA87" s="41">
        <f t="shared" ref="AA87:AC87" si="71">(DH22+DH37+DH52+DM22+DM37+DM52+DR22+DR37+DR52+DW22+DW37+DW52+EB22+EB37+EB52+EG22+EG37+EG52+EL22+EL37+EL52+EQ22+EQ37+EQ52+EV22+EV37+EV52+FA22+FA37+FA52+FF22+FF37+FF52+FK22+FK37+FK52+DH7+DM7+DR7+DW7+EB7+EG7+EL7+EQ7+EV7+FA7+FF7+FK7)/4</f>
        <v>82893.25</v>
      </c>
      <c r="AB87" s="41">
        <f t="shared" si="71"/>
        <v>67885.25</v>
      </c>
      <c r="AC87" s="41">
        <f t="shared" si="71"/>
        <v>163700.25</v>
      </c>
      <c r="AE87" s="43" t="s">
        <v>28</v>
      </c>
      <c r="AF87" s="41">
        <f t="shared" ref="AF87:AH87" si="72">(FP22+FU22+FZ22+FP7+FU7+FZ7)/2</f>
        <v>86269</v>
      </c>
      <c r="AG87" s="41">
        <f t="shared" si="72"/>
        <v>47449</v>
      </c>
      <c r="AH87" s="41">
        <f t="shared" si="72"/>
        <v>108754.5</v>
      </c>
    </row>
    <row r="88" spans="1:34" ht="15">
      <c r="A88" s="43" t="s">
        <v>29</v>
      </c>
      <c r="B88" s="121">
        <f t="shared" ref="B88:D88" si="73">(B53+B68+B38+B23+B8)/5</f>
        <v>196554.6</v>
      </c>
      <c r="C88" s="121">
        <f t="shared" si="73"/>
        <v>135645.6</v>
      </c>
      <c r="D88" s="121">
        <f t="shared" si="73"/>
        <v>239128.4</v>
      </c>
      <c r="F88" s="43" t="s">
        <v>29</v>
      </c>
      <c r="G88" s="41">
        <f t="shared" si="47"/>
        <v>528653.80000000005</v>
      </c>
      <c r="H88" s="41">
        <f t="shared" si="48"/>
        <v>417970.3</v>
      </c>
      <c r="I88" s="41">
        <f t="shared" si="49"/>
        <v>761700.4</v>
      </c>
      <c r="K88" s="43" t="s">
        <v>29</v>
      </c>
      <c r="L88" s="124">
        <f t="shared" ref="L88:N88" si="74">(L53+L68+L38+L23+L8)/5</f>
        <v>364279.9</v>
      </c>
      <c r="M88" s="124">
        <f t="shared" si="74"/>
        <v>220249.5</v>
      </c>
      <c r="N88" s="124">
        <f t="shared" si="74"/>
        <v>352900.2</v>
      </c>
      <c r="P88" s="43" t="s">
        <v>29</v>
      </c>
      <c r="Q88" s="41">
        <f t="shared" ref="Q88:S88" si="75">(+Q53+AA53+AF53+AK53+AP53+AU53+AZ53+BE53+BJ53+BO53+BT53+Q68+AA68+AF68+AK68+AP68+AU68+AZ68+BE68+BJ68+BO68+BT68+Q38+V38+AA38+AF38+AK38+AP38+AU38+AZ38+BE38+BJ38+BO38+BT38+V53+V68+Q23+V23+AA23+AF23+AK23+AP23+AU23+AZ23+BE23+BJ23+BO23+BT23+Q8+V8+AA8+AF8+AK8+AP8+AU8+AZ8+BE8+BJ8+BO8+BT8)/5</f>
        <v>29664.400000000001</v>
      </c>
      <c r="R88" s="41">
        <f t="shared" si="75"/>
        <v>31080.1</v>
      </c>
      <c r="S88" s="41">
        <f t="shared" si="75"/>
        <v>84918.04</v>
      </c>
      <c r="U88" s="43" t="s">
        <v>29</v>
      </c>
      <c r="V88" s="41">
        <f t="shared" ref="V88:X88" si="76">(BY53+CD53+CI53+CN53+BY68+CD68+CI68+CN68+BY38+CD38+CI38+CN38+BY23+CD23+CI23+CN23+BY8+CD8+CI8+CN8)/5</f>
        <v>21588.400000000001</v>
      </c>
      <c r="W88" s="41">
        <f t="shared" si="76"/>
        <v>23360</v>
      </c>
      <c r="X88" s="41">
        <f t="shared" si="76"/>
        <v>76055.399999999994</v>
      </c>
      <c r="Y88" s="6"/>
      <c r="Z88" s="43" t="s">
        <v>29</v>
      </c>
      <c r="AA88" s="41">
        <f t="shared" ref="AA88:AC88" si="77">(DH23+DH38+DH53+DM23+DM38+DM53+DR23+DR38+DR53+DW23+DW38+DW53+EB23+EB38+EB53+EG23+EG38+EG53+EL23+EL38+EL53+EQ23+EQ38+EQ53+EV23+EV38+EV53+FA23+FA38+FA53+FF23+FF38+FF53+FK23+FK38+FK53+DH8+DM8+DR8+DW8+EB8+EG8+EL8+EQ8+EV8+FA8+FF8+FK8)/4</f>
        <v>96521.5</v>
      </c>
      <c r="AB88" s="41">
        <f t="shared" si="77"/>
        <v>76147.25</v>
      </c>
      <c r="AC88" s="41">
        <f t="shared" si="77"/>
        <v>167832</v>
      </c>
      <c r="AE88" s="43" t="s">
        <v>29</v>
      </c>
      <c r="AF88" s="41">
        <f t="shared" ref="AF88:AH88" si="78">(FP23+FU23+FZ23+FP8+FU8+FZ8)/2</f>
        <v>122107.5</v>
      </c>
      <c r="AG88" s="41">
        <f t="shared" si="78"/>
        <v>59442.5</v>
      </c>
      <c r="AH88" s="41">
        <f t="shared" si="78"/>
        <v>116337</v>
      </c>
    </row>
    <row r="89" spans="1:34" ht="15">
      <c r="A89" s="43" t="s">
        <v>30</v>
      </c>
      <c r="B89" s="121">
        <f t="shared" ref="B89:D89" si="79">(B54+B69+B39+B24+B9)/5</f>
        <v>228116.6</v>
      </c>
      <c r="C89" s="121">
        <f t="shared" si="79"/>
        <v>150725.20000000001</v>
      </c>
      <c r="D89" s="121">
        <f t="shared" si="79"/>
        <v>260224.6</v>
      </c>
      <c r="F89" s="43" t="s">
        <v>30</v>
      </c>
      <c r="G89" s="41">
        <f t="shared" si="47"/>
        <v>595858</v>
      </c>
      <c r="H89" s="41">
        <f t="shared" si="48"/>
        <v>445519.4</v>
      </c>
      <c r="I89" s="41">
        <f t="shared" si="49"/>
        <v>816858.1</v>
      </c>
      <c r="K89" s="43" t="s">
        <v>30</v>
      </c>
      <c r="L89" s="124">
        <f t="shared" ref="L89:N89" si="80">(L54+L69+L39+L24+L9)/5</f>
        <v>440869.7</v>
      </c>
      <c r="M89" s="124">
        <f t="shared" si="80"/>
        <v>243118.8</v>
      </c>
      <c r="N89" s="124">
        <f t="shared" si="80"/>
        <v>389724.8</v>
      </c>
      <c r="P89" s="43" t="s">
        <v>30</v>
      </c>
      <c r="Q89" s="41">
        <f t="shared" ref="Q89:S89" si="81">(+Q54+AA54+AF54+AK54+AP54+AU54+AZ54+BE54+BJ54+BO54+BT54+Q69+AA69+AF69+AK69+AP69+AU69+AZ69+BE69+BJ69+BO69+BT69+Q39+V39+AA39+AF39+AK39+AP39+AU39+AZ39+BE39+BJ39+BO39+BT39+V54+V69+Q24+V24+AA24+AF24+AK24+AP24+AU24+AZ24+BE24+BJ24+BO24+BT24+Q9+V9+AA9+AF9+AK9+AP9+AU9+AZ9+BE9+BJ9+BO9+BT9)/5</f>
        <v>34270.619999999995</v>
      </c>
      <c r="R89" s="41">
        <f t="shared" si="81"/>
        <v>30889.860000000004</v>
      </c>
      <c r="S89" s="41">
        <f t="shared" si="81"/>
        <v>83938.66</v>
      </c>
      <c r="U89" s="43" t="s">
        <v>30</v>
      </c>
      <c r="V89" s="41">
        <f t="shared" ref="V89:X89" si="82">(BY54+CD54+CI54+CN54+BY69+CD69+CI69+CN69+BY39+CD39+CI39+CN39+BY24+CD24+CI24+CN24+BY9+CD9+CI9+CN9)/5</f>
        <v>39818.800000000003</v>
      </c>
      <c r="W89" s="41">
        <f t="shared" si="82"/>
        <v>26890.6</v>
      </c>
      <c r="X89" s="41">
        <f t="shared" si="82"/>
        <v>77506.600000000006</v>
      </c>
      <c r="Y89" s="6"/>
      <c r="Z89" s="43" t="s">
        <v>30</v>
      </c>
      <c r="AA89" s="41">
        <f t="shared" ref="AA89:AC89" si="83">(DH24+DH39+DH54+DM24+DM39+DM54+DR24+DR39+DR54+DW24+DW39+DW54+EB24+EB39+EB54+EG24+EG39+EG54+EL24+EL39+EL54+EQ24+EQ39+EQ54+EV24+EV39+EV54+FA24+FA39+FA54+FF24+FF39+FF54+FK24+FK39+FK54+DH9+DM9+DR9+DW9+EB9+EG9+EL9+EQ9+EV9+FA9+FF9+FK9)/4</f>
        <v>110494.75</v>
      </c>
      <c r="AB89" s="41">
        <f t="shared" si="83"/>
        <v>78431.75</v>
      </c>
      <c r="AC89" s="41">
        <f t="shared" si="83"/>
        <v>169213.75</v>
      </c>
      <c r="AE89" s="43" t="s">
        <v>30</v>
      </c>
      <c r="AF89" s="41">
        <f t="shared" ref="AF89:AH89" si="84">(FP24+FU24+FZ24+FP9+FU9+FZ9)/2</f>
        <v>147275</v>
      </c>
      <c r="AG89" s="41">
        <f t="shared" si="84"/>
        <v>73069</v>
      </c>
      <c r="AH89" s="41">
        <f t="shared" si="84"/>
        <v>130871</v>
      </c>
    </row>
    <row r="90" spans="1:34" ht="15">
      <c r="A90" s="43" t="s">
        <v>31</v>
      </c>
      <c r="B90" s="121">
        <f t="shared" ref="B90:D90" si="85">(B55+B70+B40+B25+B10)/5</f>
        <v>271868</v>
      </c>
      <c r="C90" s="121">
        <f t="shared" si="85"/>
        <v>179478</v>
      </c>
      <c r="D90" s="121">
        <f t="shared" si="85"/>
        <v>288573.59999999998</v>
      </c>
      <c r="F90" s="43" t="s">
        <v>31</v>
      </c>
      <c r="G90" s="41">
        <f t="shared" si="47"/>
        <v>737838.3</v>
      </c>
      <c r="H90" s="41">
        <f t="shared" si="48"/>
        <v>544175.15</v>
      </c>
      <c r="I90" s="41">
        <f t="shared" si="49"/>
        <v>919478.35</v>
      </c>
      <c r="K90" s="43" t="s">
        <v>31</v>
      </c>
      <c r="L90" s="124">
        <f t="shared" ref="L90:N90" si="86">(L55+L70+L40+L25+L10)/5</f>
        <v>504949.7</v>
      </c>
      <c r="M90" s="124">
        <f t="shared" si="86"/>
        <v>279701.59999999998</v>
      </c>
      <c r="N90" s="124">
        <f t="shared" si="86"/>
        <v>425038.6</v>
      </c>
      <c r="P90" s="43" t="s">
        <v>31</v>
      </c>
      <c r="Q90" s="41">
        <f t="shared" ref="Q90:S90" si="87">(+Q55+AA55+AF55+AK55+AP55+AU55+AZ55+BE55+BJ55+BO55+BT55+Q70+AA70+AF70+AK70+AP70+AU70+AZ70+BE70+BJ70+BO70+BT70+Q40+V40+AA40+AF40+AK40+AP40+AU40+AZ40+BE40+BJ40+BO40+BT40+V55+V70+Q25+V25+AA25+AF25+AK25+AP25+AU25+AZ25+BE25+BJ25+BO25+BT25+Q10+V10+AA10+AF10+AK10+AP10+AU10+AZ10+BE10+BJ10+BO10+BT10)/5</f>
        <v>40805.58</v>
      </c>
      <c r="R90" s="41">
        <f t="shared" si="87"/>
        <v>35409.26</v>
      </c>
      <c r="S90" s="41">
        <f t="shared" si="87"/>
        <v>92497.16</v>
      </c>
      <c r="U90" s="43" t="s">
        <v>31</v>
      </c>
      <c r="V90" s="41">
        <f t="shared" ref="V90:X90" si="88">(BY55+CD55+CI55+CN55+BY70+CD70+CI70+CN70+BY40+CD40+CI40+CN40+BY25+CD25+CI25+CN25+BY10+CD10+CI10+CN10)/5</f>
        <v>51884.800000000003</v>
      </c>
      <c r="W90" s="41">
        <f t="shared" si="88"/>
        <v>33202.800000000003</v>
      </c>
      <c r="X90" s="41">
        <f t="shared" si="88"/>
        <v>87538.8</v>
      </c>
      <c r="Y90" s="6"/>
      <c r="Z90" s="43" t="s">
        <v>31</v>
      </c>
      <c r="AA90" s="41">
        <f t="shared" ref="AA90:AC90" si="89">(DH25+DH40+DH55+DM25+DM40+DM55+DR25+DR40+DR55+DW25+DW40+DW55+EB25+EB40+EB55+EG25+EG40+EG55+EL25+EL40+EL55+EQ25+EQ40+EQ55+EV25+EV40+EV55+FA25+FA40+FA55+FF25+FF40+FF55+FK25+FK40+FK55+DH10+DM10+DR10+DW10+EB10+EG10+EL10+EQ10+EV10+FA10+FF10+FK10)/4</f>
        <v>125495</v>
      </c>
      <c r="AB90" s="41">
        <f t="shared" si="89"/>
        <v>87597</v>
      </c>
      <c r="AC90" s="41">
        <f t="shared" si="89"/>
        <v>180262.5</v>
      </c>
      <c r="AE90" s="43" t="s">
        <v>31</v>
      </c>
      <c r="AF90" s="41">
        <f t="shared" ref="AF90:AH90" si="90">(FP25+FU25+FZ25+FP10+FU10+FZ10)/2</f>
        <v>159111.5</v>
      </c>
      <c r="AG90" s="41">
        <f t="shared" si="90"/>
        <v>76185</v>
      </c>
      <c r="AH90" s="41">
        <f t="shared" si="90"/>
        <v>141393</v>
      </c>
    </row>
    <row r="91" spans="1:34" ht="15">
      <c r="A91" s="43" t="s">
        <v>32</v>
      </c>
      <c r="B91" s="121">
        <f t="shared" ref="B91:D91" si="91">(B56+B71+B41+B26+B11)/5</f>
        <v>246001.8</v>
      </c>
      <c r="C91" s="121">
        <f t="shared" si="91"/>
        <v>159389.6</v>
      </c>
      <c r="D91" s="121">
        <f t="shared" si="91"/>
        <v>278614.2</v>
      </c>
      <c r="F91" s="43" t="s">
        <v>32</v>
      </c>
      <c r="G91" s="41">
        <f t="shared" si="47"/>
        <v>608458.65</v>
      </c>
      <c r="H91" s="41">
        <f t="shared" si="48"/>
        <v>471802.95</v>
      </c>
      <c r="I91" s="41">
        <f t="shared" si="49"/>
        <v>857399.9</v>
      </c>
      <c r="K91" s="43" t="s">
        <v>32</v>
      </c>
      <c r="L91" s="124">
        <f t="shared" ref="L91:N91" si="92">(L56+L71+L41+L26+L11)/5</f>
        <v>477230.2</v>
      </c>
      <c r="M91" s="124">
        <f t="shared" si="92"/>
        <v>261804</v>
      </c>
      <c r="N91" s="124">
        <f t="shared" si="92"/>
        <v>436371.8</v>
      </c>
      <c r="P91" s="43" t="s">
        <v>32</v>
      </c>
      <c r="Q91" s="41">
        <f t="shared" ref="Q91:S91" si="93">(+Q56+AA56+AF56+AK56+AP56+AU56+AZ56+BE56+BJ56+BO56+BT56+Q71+AA71+AF71+AK71+AP71+AU71+AZ71+BE71+BJ71+BO71+BT71+Q41+V41+AA41+AF41+AK41+AP41+AU41+AZ41+BE41+BJ41+BO41+BT41+V56+V71+Q26+V26+AA26+AF26+AK26+AP26+AU26+AZ26+BE26+BJ26+BO26+BT26+Q11+V11+AA11+AF11+AK11+AP11+AU11+AZ11+BE11+BJ11+BO11+BT11)/5</f>
        <v>33273.24</v>
      </c>
      <c r="R91" s="41">
        <f t="shared" si="93"/>
        <v>34118.080000000002</v>
      </c>
      <c r="S91" s="41">
        <f t="shared" si="93"/>
        <v>90471.98</v>
      </c>
      <c r="U91" s="43" t="s">
        <v>32</v>
      </c>
      <c r="V91" s="41">
        <f t="shared" ref="V91:X91" si="94">(BY56+CD56+CI56+CN56+BY71+CD71+CI71+CN71+BY41+CD41+CI41+CN41+BY26+CD26+CI26+CN26+BY11+CD11+CI11+CN11)/5</f>
        <v>46052.4</v>
      </c>
      <c r="W91" s="41">
        <f t="shared" si="94"/>
        <v>30006</v>
      </c>
      <c r="X91" s="41">
        <f t="shared" si="94"/>
        <v>85669</v>
      </c>
      <c r="Y91" s="6"/>
      <c r="Z91" s="43" t="s">
        <v>32</v>
      </c>
      <c r="AA91" s="41">
        <f t="shared" ref="AA91:AC91" si="95">(DH26+DH41+DH56+DM26+DM41+DM56+DR26+DR41+DR56+DW26+DW41+DW56+EB26+EB41+EB56+EG26+EG41+EG56+EL26+EL41+EL56+EQ26+EQ41+EQ56+EV26+EV41+EV56+FA26+FA41+FA56+FF26+FF41+FF56+FK26+FK41+FK56+DH11+DM11+DR11+DW11+EB11+EG11+EL11+EQ11+EV11+FA11+FF11+FK11)/4</f>
        <v>117740.5</v>
      </c>
      <c r="AB91" s="41">
        <f t="shared" si="95"/>
        <v>81781</v>
      </c>
      <c r="AC91" s="41">
        <f t="shared" si="95"/>
        <v>177633.5</v>
      </c>
      <c r="AE91" s="43" t="s">
        <v>32</v>
      </c>
      <c r="AF91" s="41">
        <f t="shared" ref="AF91:AH91" si="96">(FP26+FU26+FZ26+FP11+FU11+FZ11)/2</f>
        <v>142837.5</v>
      </c>
      <c r="AG91" s="41">
        <f t="shared" si="96"/>
        <v>72358.5</v>
      </c>
      <c r="AH91" s="41">
        <f t="shared" si="96"/>
        <v>130671.5</v>
      </c>
    </row>
    <row r="92" spans="1:34" ht="15">
      <c r="A92" s="43" t="s">
        <v>33</v>
      </c>
      <c r="B92" s="121">
        <f t="shared" ref="B92:D92" si="97">(B57+B72+B42+B27+B12)/5</f>
        <v>214037.4</v>
      </c>
      <c r="C92" s="121">
        <f t="shared" si="97"/>
        <v>148740.20000000001</v>
      </c>
      <c r="D92" s="121">
        <f t="shared" si="97"/>
        <v>240485.2</v>
      </c>
      <c r="F92" s="43" t="s">
        <v>33</v>
      </c>
      <c r="G92" s="41">
        <f t="shared" si="47"/>
        <v>550515.75</v>
      </c>
      <c r="H92" s="41">
        <f t="shared" si="48"/>
        <v>434207.6</v>
      </c>
      <c r="I92" s="41">
        <f t="shared" si="49"/>
        <v>753071.25</v>
      </c>
      <c r="K92" s="43" t="s">
        <v>33</v>
      </c>
      <c r="L92" s="124">
        <f t="shared" ref="L92:N92" si="98">(L57+L72+L42+L27+L12)/5</f>
        <v>409727.4</v>
      </c>
      <c r="M92" s="124">
        <f t="shared" si="98"/>
        <v>242101.1</v>
      </c>
      <c r="N92" s="124">
        <f t="shared" si="98"/>
        <v>369527.1</v>
      </c>
      <c r="P92" s="43" t="s">
        <v>33</v>
      </c>
      <c r="Q92" s="41">
        <f t="shared" ref="Q92:S92" si="99">(+Q57+AA57+AF57+AK57+AP57+AU57+AZ57+BE57+BJ57+BO57+BT57+Q72+AA72+AF72+AK72+AP72+AU72+AZ72+BE72+BJ72+BO72+BT72+Q42+V42+AA42+AF42+AK42+AP42+AU42+AZ42+BE42+BJ42+BO42+BT42+V57+V72+Q27+V27+AA27+AF27+AK27+AP27+AU27+AZ27+BE27+BJ27+BO27+BT27+Q12+V12+AA12+AF12+AK12+AP12+AU12+AZ12+BE12+BJ12+BO12+BT12)/5</f>
        <v>25489.919999999998</v>
      </c>
      <c r="R92" s="41">
        <f t="shared" si="99"/>
        <v>30948.719999999994</v>
      </c>
      <c r="S92" s="41">
        <f t="shared" si="99"/>
        <v>69416.360000000015</v>
      </c>
      <c r="U92" s="43" t="s">
        <v>33</v>
      </c>
      <c r="V92" s="41">
        <f t="shared" ref="V92:X92" si="100">(BY57+CD57+CI57+CN57+BY72+CD72+CI72+CN72+BY42+CD42+CI42+CN42+BY27+CD27+CI27+CN27+BY12+CD12+CI12+CN12)/5</f>
        <v>32345.8</v>
      </c>
      <c r="W92" s="41">
        <f t="shared" si="100"/>
        <v>28774.6</v>
      </c>
      <c r="X92" s="41">
        <f t="shared" si="100"/>
        <v>77711.399999999994</v>
      </c>
      <c r="Y92" s="6"/>
      <c r="Z92" s="43" t="s">
        <v>33</v>
      </c>
      <c r="AA92" s="41">
        <f>(DH27+DH42+DH57+DM27+DM42+DM57+DR27+DR42+DR57+DW27+DW42+DW57+EB27+EB42+EB57+EG27+EG42+EG57+EL27+EL42+EL57+EQ27+EQ42+EQ57+EV27+EV42+EV57+FA27+FA42+FA57+FF27+FF42+FF57+FK27+FK42+FK57+DH12+DM12+DR12+DW12+EB12+EG12+EL12+EQ12+EV12+FA12+FF12+FK12)/3</f>
        <v>100931.33333333333</v>
      </c>
      <c r="AB92" s="41">
        <f t="shared" ref="AB92:AC92" si="101">(DI27+DI42+DI57+DN27+DN42+DN57+DS27+DS42+DS57+DX27+DX42+DX57+EC27+EC42+EC57+EH27+EH42+EH57+EM27+EM42+EM57+ER27+ER42+ER57+EW27+EW42+EW57+FB27+FB42+FB57+FG27+FG42+FG57+FL27+FL42+FL57+DI12+DN12+DS12+DX12+EC12+EH12+EM12+ER12+EW12+FB12+FG12+FL12)/3</f>
        <v>79168</v>
      </c>
      <c r="AC92" s="41">
        <f t="shared" si="101"/>
        <v>155542.66666666666</v>
      </c>
      <c r="AE92" s="43" t="s">
        <v>33</v>
      </c>
      <c r="AF92" s="41">
        <f t="shared" ref="AF92:AH92" si="102">(FP27+FU27+FZ27+FP12+FU12+FZ12)/2</f>
        <v>118753</v>
      </c>
      <c r="AG92" s="41">
        <f t="shared" si="102"/>
        <v>65454</v>
      </c>
      <c r="AH92" s="41">
        <f t="shared" si="102"/>
        <v>106184.825</v>
      </c>
    </row>
    <row r="93" spans="1:34" ht="15">
      <c r="A93" s="43" t="s">
        <v>34</v>
      </c>
      <c r="B93" s="121">
        <f>(B58+B73+B43+B28)/4</f>
        <v>191878.25</v>
      </c>
      <c r="C93" s="121">
        <f t="shared" ref="C93:D93" si="103">(C58+C73+C43+C28)/4</f>
        <v>133251.75</v>
      </c>
      <c r="D93" s="121">
        <f t="shared" si="103"/>
        <v>231105</v>
      </c>
      <c r="F93" s="43" t="s">
        <v>34</v>
      </c>
      <c r="G93" s="41">
        <f t="shared" ref="G93:I95" si="104">(G73+G58+G43+G28+G13)/5+(CS58+CX58+DC58+CS43+CX43+DC43+CS28+CX28+DC28+CS13+CX13+DC13)/3</f>
        <v>490388.8</v>
      </c>
      <c r="H93" s="41">
        <f t="shared" si="104"/>
        <v>390105.73333333334</v>
      </c>
      <c r="I93" s="41">
        <f t="shared" si="104"/>
        <v>687786.46666666667</v>
      </c>
      <c r="K93" s="43" t="s">
        <v>34</v>
      </c>
      <c r="L93" s="124">
        <f>(L58+L73+L43+L28+L13)/4</f>
        <v>304865.5</v>
      </c>
      <c r="M93" s="124">
        <f t="shared" ref="M93:N93" si="105">(M58+M73+M43+M28+M13)/4</f>
        <v>189077.75</v>
      </c>
      <c r="N93" s="124">
        <f t="shared" si="105"/>
        <v>296760</v>
      </c>
      <c r="P93" s="43" t="s">
        <v>34</v>
      </c>
      <c r="Q93" s="41">
        <f t="shared" ref="Q93:S93" si="106">(+Q58+AA58+AF58+AK58+AP58+AU58+AZ58+BE58+BJ58+BO58+BT58+Q73+AA73+AF73+AK73+AP73+AU73+AZ73+BE73+BJ73+BO73+BT73+Q43+V43+AA43+AF43+AK43+AP43+AU43+AZ43+BE43+BJ43+BO43+BT43+V58+V73+Q28+V28+AA28+AF28+AK28+AP28+AU28+AZ28+BE28+BJ28+BO28+BT28+Q13+V13+AA13+AF13+AK13+AP13+AU13+AZ13+BE13+BJ13+BO13+BT13)/5</f>
        <v>29968.560000000005</v>
      </c>
      <c r="R93" s="41">
        <f t="shared" si="106"/>
        <v>37823.360000000001</v>
      </c>
      <c r="S93" s="41">
        <f t="shared" si="106"/>
        <v>76844.179999999993</v>
      </c>
      <c r="U93" s="43" t="s">
        <v>34</v>
      </c>
      <c r="V93" s="41">
        <f>(BY58+CD58+CI58+CN58+BY73+CD73+CI73+CN73+BY43+CD43+CI43+CN43+BY28+CD28+CI28+CN28+BY13+CD13+CI13+CN13)/4</f>
        <v>28792.5</v>
      </c>
      <c r="W93" s="41">
        <f t="shared" ref="W93:X93" si="107">(BZ58+CE58+CJ58+CO58+BZ73+CE73+CJ73+CO73+BZ43+CE43+CJ43+CO43+BZ28+CE28+CJ28+CO28+BZ13+CE13+CJ13+CO13)/4</f>
        <v>38689.75</v>
      </c>
      <c r="X93" s="41">
        <f t="shared" si="107"/>
        <v>101528.5</v>
      </c>
      <c r="Y93" s="6"/>
      <c r="Z93" s="43" t="s">
        <v>34</v>
      </c>
      <c r="AA93" s="41">
        <f t="shared" ref="AA93:AC93" si="108">(DH28+DH43+DH58+DM28+DM43+DM58+DR28+DR43+DR58+DW28+DW43+DW58+EB28+EB43+EB58+EG28+EG43+EG58+EL28+EL43+EL58+EQ28+EQ43+EQ58+EV28+EV43+EV58+FA28+FA43+FA58+FF28+FF43+FF58+FK28+FK43+FK58+DH13+DM13+DR13+DW13+EB13+EG13+EL13+EQ13+EV13+FA13+FF13+FK13)/3</f>
        <v>87980</v>
      </c>
      <c r="AB93" s="41">
        <f t="shared" si="108"/>
        <v>76939</v>
      </c>
      <c r="AC93" s="41">
        <f t="shared" si="108"/>
        <v>155257</v>
      </c>
      <c r="AE93" s="43" t="s">
        <v>34</v>
      </c>
      <c r="AF93" s="41">
        <f>(FP28+FU28+FZ28+FP13+FU13+FZ13)/1</f>
        <v>106774</v>
      </c>
      <c r="AG93" s="41">
        <f t="shared" ref="AG93:AH93" si="109">(FQ28+FV28+GA28+FQ13+FV13+GA13)/1</f>
        <v>53794</v>
      </c>
      <c r="AH93" s="41">
        <f t="shared" si="109"/>
        <v>111540</v>
      </c>
    </row>
    <row r="94" spans="1:34" ht="15">
      <c r="A94" s="43" t="s">
        <v>35</v>
      </c>
      <c r="B94" s="121">
        <f t="shared" ref="B94:D94" si="110">(B59+B74+B44+B29)/4</f>
        <v>165280.25</v>
      </c>
      <c r="C94" s="121">
        <f t="shared" si="110"/>
        <v>112600</v>
      </c>
      <c r="D94" s="121">
        <f t="shared" si="110"/>
        <v>211710.5</v>
      </c>
      <c r="F94" s="43" t="s">
        <v>35</v>
      </c>
      <c r="G94" s="41">
        <f t="shared" si="104"/>
        <v>365967.7886850927</v>
      </c>
      <c r="H94" s="41">
        <f t="shared" si="104"/>
        <v>314047.07090015721</v>
      </c>
      <c r="I94" s="41">
        <f t="shared" si="104"/>
        <v>465268.95205783553</v>
      </c>
      <c r="K94" s="43" t="s">
        <v>35</v>
      </c>
      <c r="L94" s="124">
        <f t="shared" ref="L94:N94" si="111">(L59+L74+L44+L29+L14)/4</f>
        <v>283302.625</v>
      </c>
      <c r="M94" s="124">
        <f t="shared" si="111"/>
        <v>166581.625</v>
      </c>
      <c r="N94" s="124">
        <f t="shared" si="111"/>
        <v>278193</v>
      </c>
      <c r="P94" s="43" t="s">
        <v>35</v>
      </c>
      <c r="Q94" s="41">
        <f t="shared" ref="Q94:S94" si="112">(+Q59+AA59+AF59+AK59+AP59+AU59+AZ59+BE59+BJ59+BO59+BT59+Q74+AA74+AF74+AK74+AP74+AU74+AZ74+BE74+BJ74+BO74+BT74+Q44+V44+AA44+AF44+AK44+AP44+AU44+AZ44+BE44+BJ44+BO44+BT44+V59+V74+Q29+V29+AA29+AF29+AK29+AP29+AU29+AZ29+BE29+BJ29+BO29+BT29+Q14+V14+AA14+AF14+AK14+AP14+AU14+AZ14+BE14+BJ14+BO14+BT14)/5</f>
        <v>40965.86</v>
      </c>
      <c r="R94" s="41">
        <f t="shared" si="112"/>
        <v>39186.079999999994</v>
      </c>
      <c r="S94" s="41">
        <f t="shared" si="112"/>
        <v>81821.559999999983</v>
      </c>
      <c r="U94" s="43" t="s">
        <v>35</v>
      </c>
      <c r="V94" s="41">
        <f t="shared" ref="V94:X94" si="113">(BY59+CD59+CI59+CN59+BY74+CD74+CI74+CN74+BY44+CD44+CI44+CN44+BY29+CD29+CI29+CN29+BY14+CD14+CI14+CN14)/4</f>
        <v>38381</v>
      </c>
      <c r="W94" s="41">
        <f t="shared" si="113"/>
        <v>39097.75</v>
      </c>
      <c r="X94" s="41">
        <f t="shared" si="113"/>
        <v>104874.25</v>
      </c>
      <c r="Y94" s="6"/>
      <c r="Z94" s="43" t="s">
        <v>35</v>
      </c>
      <c r="AA94" s="41">
        <f t="shared" ref="AA94:AC94" si="114">(DH29+DH44+DH59+DM29+DM44+DM59+DR29+DR44+DR59+DW29+DW44+DW59+EB29+EB44+EB59+EG29+EG44+EG59+EL29+EL44+EL59+EQ29+EQ44+EQ59+EV29+EV44+EV59+FA29+FA44+FA59+FF29+FF44+FF59+FK29+FK44+FK59+DH14+DM14+DR14+DW14+EB14+EG14+EL14+EQ14+EV14+FA14+FF14+FK14)/3</f>
        <v>88556.333333333328</v>
      </c>
      <c r="AB94" s="41">
        <f t="shared" si="114"/>
        <v>67950.333333333328</v>
      </c>
      <c r="AC94" s="41">
        <f t="shared" si="114"/>
        <v>149337.66666666666</v>
      </c>
      <c r="AE94" s="43" t="s">
        <v>35</v>
      </c>
      <c r="AF94" s="41">
        <f t="shared" ref="AF94:AH94" si="115">(FP29+FU29+FZ29+FP14+FU14+FZ14)/1</f>
        <v>92363</v>
      </c>
      <c r="AG94" s="41">
        <f t="shared" si="115"/>
        <v>50506</v>
      </c>
      <c r="AH94" s="41">
        <f t="shared" si="115"/>
        <v>111565</v>
      </c>
    </row>
    <row r="95" spans="1:34" ht="15">
      <c r="A95" s="43" t="s">
        <v>36</v>
      </c>
      <c r="B95" s="121">
        <f t="shared" ref="B95:D95" si="116">(B60+B75+B45+B30)/4</f>
        <v>143663.5</v>
      </c>
      <c r="C95" s="121">
        <f t="shared" si="116"/>
        <v>100384.5</v>
      </c>
      <c r="D95" s="121">
        <f t="shared" si="116"/>
        <v>213250.25</v>
      </c>
      <c r="F95" s="43" t="s">
        <v>36</v>
      </c>
      <c r="G95" s="41">
        <f t="shared" si="104"/>
        <v>369839.25311088859</v>
      </c>
      <c r="H95" s="41">
        <f t="shared" si="104"/>
        <v>252084.66586086218</v>
      </c>
      <c r="I95" s="41">
        <f t="shared" si="104"/>
        <v>495510.36656186066</v>
      </c>
      <c r="K95" s="43" t="s">
        <v>36</v>
      </c>
      <c r="L95" s="124">
        <f t="shared" ref="L95:N95" si="117">(L60+L75+L45+L30+L15)/4</f>
        <v>297270.125</v>
      </c>
      <c r="M95" s="124">
        <f t="shared" si="117"/>
        <v>168787.5</v>
      </c>
      <c r="N95" s="124">
        <f t="shared" si="117"/>
        <v>336954.25</v>
      </c>
      <c r="P95" s="43" t="s">
        <v>36</v>
      </c>
      <c r="Q95" s="41">
        <f t="shared" ref="Q95:S95" si="118">(+Q60+AA60+AF60+AK60+AP60+AU60+AZ60+BE60+BJ60+BO60+BT60+Q75+AA75+AF75+AK75+AP75+AU75+AZ75+BE75+BJ75+BO75+BT75+Q45+V45+AA45+AF45+AK45+AP45+AU45+AZ45+BE45+BJ45+BO45+BT45+V60+V75+Q30+V30+AA30+AF30+AK30+AP30+AU30+AZ30+BE30+BJ30+BO30+BT30+Q15+V15+AA15+AF15+AK15+AP15+AU15+AZ15+BE15+BJ15+BO15+BT15)/5</f>
        <v>41628.460000000006</v>
      </c>
      <c r="R95" s="41">
        <f t="shared" si="118"/>
        <v>37745.460000000006</v>
      </c>
      <c r="S95" s="41">
        <f t="shared" si="118"/>
        <v>81070.86</v>
      </c>
      <c r="U95" s="43" t="s">
        <v>36</v>
      </c>
      <c r="V95" s="41">
        <f t="shared" ref="V95:X95" si="119">(BY60+CD60+CI60+CN60+BY75+CD75+CI75+CN75+BY45+CD45+CI45+CN45+BY30+CD30+CI30+CN30+BY15+CD15+CI15+CN15)/4</f>
        <v>36000.5</v>
      </c>
      <c r="W95" s="41">
        <f t="shared" si="119"/>
        <v>36878.25</v>
      </c>
      <c r="X95" s="41">
        <f t="shared" si="119"/>
        <v>98294.25</v>
      </c>
      <c r="Y95" s="6"/>
      <c r="Z95" s="43" t="s">
        <v>36</v>
      </c>
      <c r="AA95" s="41">
        <f t="shared" ref="AA95:AC95" si="120">(DH30+DH45+DH60+DM30+DM45+DM60+DR30+DR45+DR60+DW30+DW45+DW60+EB30+EB45+EB60+EG30+EG45+EG60+EL30+EL45+EL60+EQ30+EQ45+EQ60+EV30+EV45+EV60+FA30+FA45+FA60+FF30+FF45+FF60+FK30+FK45+FK60+DH15+DM15+DR15+DW15+EB15+EG15+EL15+EQ15+EV15+FA15+FF15+FK15)/3</f>
        <v>79844.666666666672</v>
      </c>
      <c r="AB95" s="41">
        <f t="shared" si="120"/>
        <v>64957.666666666664</v>
      </c>
      <c r="AC95" s="41">
        <f t="shared" si="120"/>
        <v>155428.66666666666</v>
      </c>
      <c r="AE95" s="43" t="s">
        <v>36</v>
      </c>
      <c r="AF95" s="41">
        <f t="shared" ref="AF95:AH95" si="121">(FP30+FU30+FZ30+FP15+FU15+FZ15)/1</f>
        <v>75828</v>
      </c>
      <c r="AG95" s="41">
        <f t="shared" si="121"/>
        <v>49798</v>
      </c>
      <c r="AH95" s="41">
        <f t="shared" si="121"/>
        <v>124639</v>
      </c>
    </row>
    <row r="96" spans="1:34" ht="15">
      <c r="A96" s="147" t="s">
        <v>218</v>
      </c>
      <c r="B96" s="42">
        <f>SUM(B84:B95)</f>
        <v>2255919</v>
      </c>
      <c r="C96" s="42">
        <f>SUM(C84:C95)</f>
        <v>1532995.25</v>
      </c>
      <c r="D96" s="125">
        <f>SUM(D84:D95)</f>
        <v>2735564.9499999997</v>
      </c>
      <c r="F96" s="62" t="str">
        <f>A96</f>
        <v>Totale Previsione</v>
      </c>
      <c r="G96" s="42">
        <f>SUM(G84:G95)</f>
        <v>5994759.0917959809</v>
      </c>
      <c r="H96" s="42">
        <f t="shared" ref="H96:I96" si="122">SUM(H84:H95)</f>
        <v>4539542.7200943539</v>
      </c>
      <c r="I96" s="42">
        <f t="shared" si="122"/>
        <v>8138656.9352863636</v>
      </c>
      <c r="K96" s="62" t="str">
        <f>F96</f>
        <v>Totale Previsione</v>
      </c>
      <c r="L96" s="42">
        <f>SUM(L84:L95)</f>
        <v>4308291.05</v>
      </c>
      <c r="M96" s="42">
        <f t="shared" ref="M96:N96" si="123">SUM(M84:M95)</f>
        <v>2507945.0750000002</v>
      </c>
      <c r="N96" s="42">
        <f t="shared" si="123"/>
        <v>4162536.45</v>
      </c>
      <c r="P96" s="62" t="str">
        <f>K96</f>
        <v>Totale Previsione</v>
      </c>
      <c r="Q96" s="42">
        <f>SUM(Q84:Q95)</f>
        <v>447327.76689265535</v>
      </c>
      <c r="R96" s="42">
        <f t="shared" ref="R96:S96" si="124">SUM(R84:R95)</f>
        <v>455494.59258003772</v>
      </c>
      <c r="S96" s="42">
        <f t="shared" si="124"/>
        <v>1058057.3605273068</v>
      </c>
      <c r="U96" s="62" t="str">
        <f>P96</f>
        <v>Totale Previsione</v>
      </c>
      <c r="V96" s="42">
        <f>SUM(V84:V95)</f>
        <v>412400.8</v>
      </c>
      <c r="W96" s="42">
        <f t="shared" ref="W96:X96" si="125">SUM(W84:W95)</f>
        <v>383455.95</v>
      </c>
      <c r="X96" s="42">
        <f t="shared" si="125"/>
        <v>1059198.6000000001</v>
      </c>
      <c r="Y96" s="112"/>
      <c r="Z96" s="62" t="str">
        <f>U96</f>
        <v>Totale Previsione</v>
      </c>
      <c r="AA96" s="42">
        <f>SUM(AA84:AA95)</f>
        <v>1144589.5833333335</v>
      </c>
      <c r="AB96" s="42">
        <f t="shared" ref="AB96:AC96" si="126">SUM(AB84:AB95)</f>
        <v>882001.25</v>
      </c>
      <c r="AC96" s="42">
        <f t="shared" si="126"/>
        <v>1911988.0000000002</v>
      </c>
      <c r="AE96" s="62" t="str">
        <f>Z96</f>
        <v>Totale Previsione</v>
      </c>
      <c r="AF96" s="42">
        <f>SUM(AF84:AF95)</f>
        <v>1319342.5</v>
      </c>
      <c r="AG96" s="42">
        <f t="shared" ref="AG96:AH96" si="127">SUM(AG84:AG95)</f>
        <v>700291</v>
      </c>
      <c r="AH96" s="42">
        <f t="shared" si="127"/>
        <v>1421880.825</v>
      </c>
    </row>
    <row r="134" spans="3:13">
      <c r="C134" s="115"/>
      <c r="D134" s="115"/>
      <c r="E134" s="115"/>
      <c r="H134" s="115"/>
      <c r="I134" s="115"/>
      <c r="J134" s="115"/>
      <c r="M134" s="115"/>
    </row>
    <row r="136" spans="3:13">
      <c r="H136" s="178"/>
      <c r="I136" s="178"/>
    </row>
    <row r="152" spans="127:135">
      <c r="DW152" s="187"/>
      <c r="EE152" s="1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</vt:i4>
      </vt:variant>
    </vt:vector>
  </HeadingPairs>
  <TitlesOfParts>
    <vt:vector size="11" baseType="lpstr">
      <vt:lpstr>Anagrafica sedi</vt:lpstr>
      <vt:lpstr>elem. compilazione capitolato</vt:lpstr>
      <vt:lpstr>Dettagli sede 18106</vt:lpstr>
      <vt:lpstr>Analisi 18106</vt:lpstr>
      <vt:lpstr>Dettagli sede POP</vt:lpstr>
      <vt:lpstr>Analisi POP</vt:lpstr>
      <vt:lpstr>Scheda Fornitori</vt:lpstr>
      <vt:lpstr>Sedi</vt:lpstr>
      <vt:lpstr>'Analisi 18106'!Area_stampa</vt:lpstr>
      <vt:lpstr>'Dettagli sede 18106'!Area_stampa</vt:lpstr>
      <vt:lpstr>'Dettagli sede POP'!Area_stampa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buypro</dc:title>
  <dc:creator>customer</dc:creator>
  <cp:lastModifiedBy>Hewlett-Packard Company</cp:lastModifiedBy>
  <cp:revision>5</cp:revision>
  <cp:lastPrinted>2012-09-07T21:02:39Z</cp:lastPrinted>
  <dcterms:created xsi:type="dcterms:W3CDTF">2012-05-06T07:03:23Z</dcterms:created>
  <dcterms:modified xsi:type="dcterms:W3CDTF">2019-05-17T13:21:11Z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